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1/Seminarios/Auditoría SIAR/"/>
    </mc:Choice>
  </mc:AlternateContent>
  <xr:revisionPtr revIDLastSave="0" documentId="8_{BACF3325-7D7B-4AE4-AA0E-7E57CB07A81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CCORING" sheetId="3" r:id="rId1"/>
  </sheets>
  <externalReferences>
    <externalReference r:id="rId2"/>
    <externalReference r:id="rId3"/>
    <externalReference r:id="rId4"/>
  </externalReferences>
  <definedNames>
    <definedName name="___nit1">#REF!</definedName>
    <definedName name="__nit1">#REF!</definedName>
    <definedName name="_Key1" hidden="1">#REF!</definedName>
    <definedName name="_Key2" hidden="1">#REF!</definedName>
    <definedName name="_nit1">#REF!</definedName>
    <definedName name="_Order1" hidden="1">255</definedName>
    <definedName name="_Order2" hidden="1">255</definedName>
    <definedName name="_Sort" hidden="1">#REF!</definedName>
    <definedName name="A_impresión_IM">#REF!</definedName>
    <definedName name="_xlnm.Print_Area" localSheetId="0">SCCORING!$A$1:$M$48</definedName>
    <definedName name="avvillas">#REF!</definedName>
    <definedName name="BANCOS">[1]BANCOS!$A$2:$A$25</definedName>
    <definedName name="Beg_Bal">#REF!</definedName>
    <definedName name="cartera">#REF!</definedName>
    <definedName name="clientes">#REF!</definedName>
    <definedName name="Data">#REF!</definedName>
    <definedName name="depositos">#REF!</definedName>
    <definedName name="DINERS">#REF!</definedName>
    <definedName name="End_Bal">#REF!</definedName>
    <definedName name="Extra_Pay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>IF([2]COOADAMS!Values_Entered,Header_Row+[2]COOADAMS!Number_of_Payments,Header_Row)</definedName>
    <definedName name="Loan_Amount">#REF!</definedName>
    <definedName name="Loan_Start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um_Pmt_Per_Year">#REF!</definedName>
    <definedName name="Number_of_Payments">MATCH(0.01,End_Bal,-1)+1</definedName>
    <definedName name="Other_Growth">#REF!</definedName>
    <definedName name="Pay_Date">#REF!</definedName>
    <definedName name="Pay_Num">#REF!</definedName>
    <definedName name="Payment_Date">DATE(YEAR(Loan_Start),MONTH(Loan_Start)+Payment_Number,DAY(Loan_Start))</definedName>
    <definedName name="Princ">#REF!</definedName>
    <definedName name="Print_Area_Reset">OFFSET(Full_Print,0,0,Last_Row)</definedName>
    <definedName name="Rand1">#REF!</definedName>
    <definedName name="Rand2">#REF!</definedName>
    <definedName name="RangoBeneficiosNetos">[3]DatosResumen!$B$9:$B$19,[3]DatosResumen!$D$9:$D$19</definedName>
    <definedName name="Retail_Growth">#REF!</definedName>
    <definedName name="Revenue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>Scheduled_Payment+Extra_Payment</definedName>
    <definedName name="seg">#REF!</definedName>
    <definedName name="TABLA">#REF!</definedName>
    <definedName name="tablasJG">#REF!</definedName>
    <definedName name="Table1">#REF!</definedName>
    <definedName name="tablita">#REF!</definedName>
    <definedName name="Tax_Growth">#REF!</definedName>
    <definedName name="_xlnm.Print_Titles">#N/A</definedName>
    <definedName name="Total_Interest">#REF!</definedName>
    <definedName name="Total_Pay">#REF!</definedName>
    <definedName name="Total_Payment">Scheduled_Payment+Extra_Payment</definedName>
    <definedName name="Values_Entered">IF(Loan_Amount*Interest_Rate*Loan_Years*Loan_Start&gt;0,1,0)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3" l="1"/>
  <c r="J33" i="3"/>
  <c r="L33" i="3" s="1"/>
  <c r="I17" i="3"/>
  <c r="B18" i="3"/>
  <c r="B19" i="3" s="1"/>
  <c r="B69" i="3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J36" i="3"/>
  <c r="L36" i="3" s="1"/>
  <c r="F4" i="3"/>
  <c r="I18" i="3" l="1"/>
  <c r="B20" i="3"/>
  <c r="I19" i="3"/>
  <c r="H23" i="3"/>
  <c r="G23" i="3"/>
  <c r="F23" i="3"/>
  <c r="B21" i="3" l="1"/>
  <c r="I20" i="3"/>
  <c r="J21" i="3"/>
  <c r="B22" i="3" l="1"/>
  <c r="I21" i="3"/>
  <c r="M1" i="3"/>
  <c r="E6" i="3"/>
  <c r="F6" i="3"/>
  <c r="I5" i="3" s="1"/>
  <c r="I7" i="3" s="1"/>
  <c r="M6" i="3"/>
  <c r="M7" i="3"/>
  <c r="M8" i="3"/>
  <c r="M10" i="3"/>
  <c r="C11" i="3"/>
  <c r="J19" i="3"/>
  <c r="L19" i="3" s="1"/>
  <c r="J20" i="3"/>
  <c r="L20" i="3" s="1"/>
  <c r="L21" i="3"/>
  <c r="J22" i="3"/>
  <c r="L22" i="3" s="1"/>
  <c r="J23" i="3"/>
  <c r="L23" i="3" s="1"/>
  <c r="J24" i="3"/>
  <c r="L24" i="3" s="1"/>
  <c r="J25" i="3"/>
  <c r="L25" i="3" s="1"/>
  <c r="J28" i="3"/>
  <c r="L28" i="3" s="1"/>
  <c r="J29" i="3"/>
  <c r="L29" i="3" s="1"/>
  <c r="J30" i="3"/>
  <c r="L30" i="3" s="1"/>
  <c r="J31" i="3"/>
  <c r="L31" i="3" s="1"/>
  <c r="J32" i="3"/>
  <c r="L32" i="3" s="1"/>
  <c r="J34" i="3"/>
  <c r="L34" i="3" s="1"/>
  <c r="J37" i="3"/>
  <c r="L37" i="3" s="1"/>
  <c r="B43" i="3"/>
  <c r="D85" i="3"/>
  <c r="E85" i="3"/>
  <c r="F85" i="3"/>
  <c r="G85" i="3"/>
  <c r="H85" i="3"/>
  <c r="I85" i="3"/>
  <c r="J85" i="3"/>
  <c r="B23" i="3" l="1"/>
  <c r="I22" i="3"/>
  <c r="M22" i="3" s="1"/>
  <c r="I10" i="3"/>
  <c r="J18" i="3" s="1"/>
  <c r="L18" i="3" s="1"/>
  <c r="M18" i="3" s="1"/>
  <c r="M21" i="3"/>
  <c r="M20" i="3"/>
  <c r="H5" i="3"/>
  <c r="E7" i="3"/>
  <c r="J26" i="3" s="1"/>
  <c r="M19" i="3"/>
  <c r="F7" i="3"/>
  <c r="F10" i="3" s="1"/>
  <c r="C12" i="3" s="1"/>
  <c r="E13" i="3" s="1"/>
  <c r="B24" i="3" l="1"/>
  <c r="I23" i="3"/>
  <c r="M23" i="3" s="1"/>
  <c r="H7" i="3"/>
  <c r="H10" i="3" s="1"/>
  <c r="J27" i="3" s="1"/>
  <c r="L27" i="3" s="1"/>
  <c r="J17" i="3"/>
  <c r="L17" i="3" s="1"/>
  <c r="M17" i="3" s="1"/>
  <c r="L26" i="3"/>
  <c r="E10" i="3"/>
  <c r="F12" i="3" s="1"/>
  <c r="B25" i="3" l="1"/>
  <c r="I24" i="3"/>
  <c r="M24" i="3" s="1"/>
  <c r="J38" i="3"/>
  <c r="L38" i="3" s="1"/>
  <c r="J35" i="3"/>
  <c r="L35" i="3" s="1"/>
  <c r="B26" i="3" l="1"/>
  <c r="I25" i="3"/>
  <c r="M25" i="3" s="1"/>
  <c r="B27" i="3" l="1"/>
  <c r="I26" i="3"/>
  <c r="M26" i="3" s="1"/>
  <c r="B28" i="3" l="1"/>
  <c r="I27" i="3"/>
  <c r="M27" i="3" s="1"/>
  <c r="B29" i="3" l="1"/>
  <c r="I28" i="3"/>
  <c r="M28" i="3" s="1"/>
  <c r="B30" i="3" l="1"/>
  <c r="I29" i="3"/>
  <c r="M29" i="3" s="1"/>
  <c r="B31" i="3" l="1"/>
  <c r="I30" i="3"/>
  <c r="M30" i="3" s="1"/>
  <c r="B32" i="3" l="1"/>
  <c r="B33" i="3" s="1"/>
  <c r="I31" i="3"/>
  <c r="M31" i="3" s="1"/>
  <c r="B34" i="3" l="1"/>
  <c r="B35" i="3" s="1"/>
  <c r="B36" i="3" s="1"/>
  <c r="B37" i="3" s="1"/>
  <c r="B38" i="3" s="1"/>
  <c r="I33" i="3"/>
  <c r="M33" i="3" s="1"/>
  <c r="I32" i="3"/>
  <c r="M32" i="3" s="1"/>
  <c r="I34" i="3" l="1"/>
  <c r="M34" i="3" s="1"/>
  <c r="I35" i="3" l="1"/>
  <c r="M35" i="3" s="1"/>
  <c r="I36" i="3" l="1"/>
  <c r="M36" i="3" s="1"/>
  <c r="I38" i="3" l="1"/>
  <c r="M38" i="3" s="1"/>
  <c r="I37" i="3"/>
  <c r="M37" i="3" s="1"/>
  <c r="H15" i="3" l="1"/>
  <c r="G15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Diego</author>
    <author>Diego Fernando Betancour Palacios</author>
    <author>MARIAEUGENIA</author>
  </authors>
  <commentList>
    <comment ref="H4" authorId="0" shapeId="0" xr:uid="{00000000-0006-0000-0200-000001000000}">
      <text>
        <r>
          <rPr>
            <sz val="9"/>
            <color indexed="81"/>
            <rFont val="Tahoma"/>
            <family val="2"/>
          </rPr>
          <t>Sumatoria de los Cupos</t>
        </r>
      </text>
    </comment>
    <comment ref="K12" authorId="1" shapeId="0" xr:uid="{00000000-0006-0000-0200-000002000000}">
      <text>
        <r>
          <rPr>
            <sz val="9"/>
            <color indexed="81"/>
            <rFont val="Tahoma"/>
            <family val="2"/>
          </rPr>
          <t>Maxima mora alcanzada con la Cooperativa en los ultimos 12 meses</t>
        </r>
      </text>
    </comment>
    <comment ref="K15" authorId="2" shapeId="0" xr:uid="{DA9A992A-557C-40F2-A333-1FACC745B6B0}">
      <text>
        <r>
          <rPr>
            <sz val="9"/>
            <color indexed="81"/>
            <rFont val="Tahoma"/>
            <family val="2"/>
          </rPr>
          <t>maximo numero de meses en mora que ha tenido cualquier producto en la central de riesgos en los ultimos 12 meses</t>
        </r>
      </text>
    </comment>
    <comment ref="D30" authorId="2" shapeId="0" xr:uid="{230D7D3C-760F-43EC-997E-ADB5D308C488}">
      <text>
        <r>
          <rPr>
            <sz val="9"/>
            <color indexed="81"/>
            <rFont val="Tahoma"/>
            <family val="2"/>
          </rPr>
          <t>maxima mora en meses alcanzada en los ultimos 12 meses en cualquier producto</t>
        </r>
      </text>
    </comment>
    <comment ref="J30" authorId="3" shapeId="0" xr:uid="{00000000-0006-0000-0200-000003000000}">
      <text>
        <r>
          <rPr>
            <b/>
            <sz val="9"/>
            <color indexed="81"/>
            <rFont val="Tahoma"/>
            <family val="2"/>
          </rPr>
          <t>MARIAEUGENIA:</t>
        </r>
        <r>
          <rPr>
            <sz val="9"/>
            <color indexed="81"/>
            <rFont val="Tahoma"/>
            <family val="2"/>
          </rPr>
          <t xml:space="preserve">
si la morosidad es cero deberia ser verde y no se cambia.</t>
        </r>
      </text>
    </comment>
  </commentList>
</comments>
</file>

<file path=xl/sharedStrings.xml><?xml version="1.0" encoding="utf-8"?>
<sst xmlns="http://schemas.openxmlformats.org/spreadsheetml/2006/main" count="287" uniqueCount="217">
  <si>
    <t>NOMBRE</t>
  </si>
  <si>
    <t>SALDO</t>
  </si>
  <si>
    <t>A</t>
  </si>
  <si>
    <t>B</t>
  </si>
  <si>
    <t>TOTAL</t>
  </si>
  <si>
    <t>Valor en Riesgo</t>
  </si>
  <si>
    <t>Edad Años</t>
  </si>
  <si>
    <t>Codeudor</t>
  </si>
  <si>
    <t>Calificación CIFIN</t>
  </si>
  <si>
    <t>Fidelidad</t>
  </si>
  <si>
    <t>Vivienda</t>
  </si>
  <si>
    <t>Endeudamiento Total</t>
  </si>
  <si>
    <t>Reciprocidad</t>
  </si>
  <si>
    <t>Antigüedad Act. Economica</t>
  </si>
  <si>
    <t>Actividad Economica</t>
  </si>
  <si>
    <t>Nivel Académico</t>
  </si>
  <si>
    <t>Sexo</t>
  </si>
  <si>
    <t>Hijos &lt; 18</t>
  </si>
  <si>
    <t>Estado Civil</t>
  </si>
  <si>
    <t>Carga Financiera</t>
  </si>
  <si>
    <t>Capacidad de Descuento</t>
  </si>
  <si>
    <t>INDICADOR</t>
  </si>
  <si>
    <t>N°</t>
  </si>
  <si>
    <t>Independiente</t>
  </si>
  <si>
    <t>Pensionado CAJA</t>
  </si>
  <si>
    <t>Empleado NO libranza Fijo</t>
  </si>
  <si>
    <t>Empleado Libranza Fijo</t>
  </si>
  <si>
    <t>Pensionado NOMINA</t>
  </si>
  <si>
    <t xml:space="preserve">Empleado NO Libranza Indefinido </t>
  </si>
  <si>
    <t>Empleado Libranza Indefinido</t>
  </si>
  <si>
    <t>Postgrado</t>
  </si>
  <si>
    <t>Universitario</t>
  </si>
  <si>
    <t>Soltero</t>
  </si>
  <si>
    <t>Arrendada</t>
  </si>
  <si>
    <t>Técnico - Tecnológico</t>
  </si>
  <si>
    <t>Separado</t>
  </si>
  <si>
    <t>Familiar</t>
  </si>
  <si>
    <t>Bachillerato</t>
  </si>
  <si>
    <t>Viudo</t>
  </si>
  <si>
    <t>Propia</t>
  </si>
  <si>
    <t>Primaria</t>
  </si>
  <si>
    <t>Casado o Unión Libre</t>
  </si>
  <si>
    <t>CODIGO</t>
  </si>
  <si>
    <t>VIVIENDA</t>
  </si>
  <si>
    <t>NIVEL ACADEMICO</t>
  </si>
  <si>
    <t>ESTADO CIVIL</t>
  </si>
  <si>
    <t>ACTIVIDAD</t>
  </si>
  <si>
    <t>ACTA</t>
  </si>
  <si>
    <t>GARANTIAS</t>
  </si>
  <si>
    <t>x</t>
  </si>
  <si>
    <t>TASA</t>
  </si>
  <si>
    <t>PLAZO</t>
  </si>
  <si>
    <t>RECOGE</t>
  </si>
  <si>
    <t>MONTO</t>
  </si>
  <si>
    <t>OBSERVACIONES - COMENTARIOS</t>
  </si>
  <si>
    <t>NEGO</t>
  </si>
  <si>
    <t>APROBO</t>
  </si>
  <si>
    <t>LIBRE INVERSION</t>
  </si>
  <si>
    <t>DESTINO</t>
  </si>
  <si>
    <t>RESPONSABLE APROBACION</t>
  </si>
  <si>
    <t>CONDICIONES</t>
  </si>
  <si>
    <t>COMENTARIOS ANALISTA</t>
  </si>
  <si>
    <t>&gt; 5 Veces</t>
  </si>
  <si>
    <t>3-5 Veces</t>
  </si>
  <si>
    <t>&lt; 3 Veces</t>
  </si>
  <si>
    <t>Descubierto / Ingresos Deudor</t>
  </si>
  <si>
    <t>&gt; 55 Años</t>
  </si>
  <si>
    <t>&lt;30 Años</t>
  </si>
  <si>
    <t>30-55 Años</t>
  </si>
  <si>
    <t>En Años</t>
  </si>
  <si>
    <t>Edad</t>
  </si>
  <si>
    <t>Descubierto / Ingresos Codeudor</t>
  </si>
  <si>
    <t>&lt;500</t>
  </si>
  <si>
    <t>500-600</t>
  </si>
  <si>
    <t>&gt;600</t>
  </si>
  <si>
    <t>C,D,E</t>
  </si>
  <si>
    <t>Categoría de Riesgo</t>
  </si>
  <si>
    <t>&lt; 2 Años</t>
  </si>
  <si>
    <t>2-5 Años</t>
  </si>
  <si>
    <t>&gt; 5 años</t>
  </si>
  <si>
    <t>Años Antigüedad Asociado</t>
  </si>
  <si>
    <t>&gt;2</t>
  </si>
  <si>
    <t>1-2</t>
  </si>
  <si>
    <t>SERVICIO DE LA DEUDA</t>
  </si>
  <si>
    <t>Tipo Vivienda</t>
  </si>
  <si>
    <t>&gt; 20</t>
  </si>
  <si>
    <t>10 - 20</t>
  </si>
  <si>
    <t>&lt; 10</t>
  </si>
  <si>
    <t>Deudas / Ingresos</t>
  </si>
  <si>
    <t>SOLVENCIA</t>
  </si>
  <si>
    <t>Años de antigüedad Actividad Economica</t>
  </si>
  <si>
    <t>Experiencia</t>
  </si>
  <si>
    <t>Fijo, Comerciante</t>
  </si>
  <si>
    <t>Indef / Pension</t>
  </si>
  <si>
    <t>Ver Tabla</t>
  </si>
  <si>
    <t>N.A.</t>
  </si>
  <si>
    <t>Primaria, Bachiller</t>
  </si>
  <si>
    <t>Universitario, Postgrado</t>
  </si>
  <si>
    <t>Técnico, Tecnol</t>
  </si>
  <si>
    <t>M</t>
  </si>
  <si>
    <t>F</t>
  </si>
  <si>
    <t>&gt;1</t>
  </si>
  <si>
    <t>Casado-Union Libre, Viudo, Separado, Soltero</t>
  </si>
  <si>
    <t>&gt; 50%</t>
  </si>
  <si>
    <t>30-50%</t>
  </si>
  <si>
    <t>&lt; 30%</t>
  </si>
  <si>
    <t>Cuotas Créditos / Ingresos Familiares</t>
  </si>
  <si>
    <t>&gt; 40%</t>
  </si>
  <si>
    <t>20-40%</t>
  </si>
  <si>
    <t>&lt; 20%</t>
  </si>
  <si>
    <t>Descuentos / Ingreso Laboral Promedio</t>
  </si>
  <si>
    <t>Cap. Descuento</t>
  </si>
  <si>
    <t>CAPACIDAD DE PAGO</t>
  </si>
  <si>
    <t>PUNTAJE</t>
  </si>
  <si>
    <t>RIESGO</t>
  </si>
  <si>
    <t>Calculo</t>
  </si>
  <si>
    <t>Pond.</t>
  </si>
  <si>
    <t>ALTO = 1</t>
  </si>
  <si>
    <t>MEDIO = 3</t>
  </si>
  <si>
    <t>BAJO = 5</t>
  </si>
  <si>
    <t>FORMULA</t>
  </si>
  <si>
    <t>CALIF</t>
  </si>
  <si>
    <t>CALIFICACION DE RIESGO FINAL</t>
  </si>
  <si>
    <t>Score</t>
  </si>
  <si>
    <t>Ingresos. Codeud.</t>
  </si>
  <si>
    <t>Vr. Descubierto</t>
  </si>
  <si>
    <t>Antigüedad Asoc.</t>
  </si>
  <si>
    <t>Codeudas &gt;=C</t>
  </si>
  <si>
    <t>Vr Hipoteca - Prenda</t>
  </si>
  <si>
    <t>DEUDA TOTAL</t>
  </si>
  <si>
    <t>DEUDA NETA</t>
  </si>
  <si>
    <t>Otros</t>
  </si>
  <si>
    <t>Aportes y Ah. P.</t>
  </si>
  <si>
    <t>Utilidades Neg.</t>
  </si>
  <si>
    <t>Formac.</t>
  </si>
  <si>
    <t>Nuevo Endeud.</t>
  </si>
  <si>
    <t>Arrendamientos</t>
  </si>
  <si>
    <t>E. Civil</t>
  </si>
  <si>
    <t xml:space="preserve"> - Compra</t>
  </si>
  <si>
    <t>Desembolso</t>
  </si>
  <si>
    <t>Honorarios</t>
  </si>
  <si>
    <t xml:space="preserve"> + Desembolso</t>
  </si>
  <si>
    <t xml:space="preserve"> - Recoge</t>
  </si>
  <si>
    <t>M - F</t>
  </si>
  <si>
    <t xml:space="preserve"> + Solicitud</t>
  </si>
  <si>
    <t>Hijos &lt; 18 años</t>
  </si>
  <si>
    <t>Deuda Actual</t>
  </si>
  <si>
    <t>Antigüedad - Exper</t>
  </si>
  <si>
    <t>CUOTA mes sin TC</t>
  </si>
  <si>
    <t>DEUDA GLOBAL</t>
  </si>
  <si>
    <t>CUOTA</t>
  </si>
  <si>
    <t>VALOR</t>
  </si>
  <si>
    <t>INGRESOS</t>
  </si>
  <si>
    <t>Actividad</t>
  </si>
  <si>
    <t>Linea</t>
  </si>
  <si>
    <t>Nombre</t>
  </si>
  <si>
    <t>Cedula</t>
  </si>
  <si>
    <t>INTEGRANTE 1</t>
  </si>
  <si>
    <t>INTEGRANTE 2</t>
  </si>
  <si>
    <t>INTEGRANTE 3</t>
  </si>
  <si>
    <t>X</t>
  </si>
  <si>
    <t>Patronal</t>
  </si>
  <si>
    <t>PATRONAL</t>
  </si>
  <si>
    <t>Conyugue 25%</t>
  </si>
  <si>
    <t>Pagos por caja</t>
  </si>
  <si>
    <t>Soltero separado</t>
  </si>
  <si>
    <t>Casado union libre</t>
  </si>
  <si>
    <t xml:space="preserve">Empleado NO LBZ Indefinido </t>
  </si>
  <si>
    <t xml:space="preserve">Pensionado LBZ </t>
  </si>
  <si>
    <t>Pensionado otro medio pago</t>
  </si>
  <si>
    <t>Empleado LBZ Fijo</t>
  </si>
  <si>
    <t>Empleado NO LBZ Fijo</t>
  </si>
  <si>
    <t>Jurisdicc</t>
  </si>
  <si>
    <t>Sector publico</t>
  </si>
  <si>
    <t>Otras sector privado</t>
  </si>
  <si>
    <t xml:space="preserve">Aportes </t>
  </si>
  <si>
    <t>Tarjetas Crédito vigentes</t>
  </si>
  <si>
    <t>Otros desc (LBZ y SS)</t>
  </si>
  <si>
    <t>Pensiones sin LBZ</t>
  </si>
  <si>
    <t>Pensiones con LBZ</t>
  </si>
  <si>
    <t>Salario promedio lbz</t>
  </si>
  <si>
    <t>Capacidad Endeudam</t>
  </si>
  <si>
    <t>Tasa</t>
  </si>
  <si>
    <t>Plazo</t>
  </si>
  <si>
    <t>MV</t>
  </si>
  <si>
    <t>mes</t>
  </si>
  <si>
    <t>Capacidad</t>
  </si>
  <si>
    <t>Deudas  / Aportes</t>
  </si>
  <si>
    <t>Maxima Mora Coop 12 meses</t>
  </si>
  <si>
    <t>Mora Coop</t>
  </si>
  <si>
    <t>Servicio Externo</t>
  </si>
  <si>
    <t>Altura de Mora</t>
  </si>
  <si>
    <t>Altura de mora</t>
  </si>
  <si>
    <t>Altura mora externa</t>
  </si>
  <si>
    <t>Calificación Central Riesgo</t>
  </si>
  <si>
    <t>Score Central Riesgo</t>
  </si>
  <si>
    <t>Puntaje</t>
  </si>
  <si>
    <t>Fondo Garantías</t>
  </si>
  <si>
    <t>SI</t>
  </si>
  <si>
    <t>Cuenta con cobertura: SI o NO</t>
  </si>
  <si>
    <t>N.A</t>
  </si>
  <si>
    <t>NO</t>
  </si>
  <si>
    <t>Scoring</t>
  </si>
  <si>
    <t>Deuda max Historica Coop</t>
  </si>
  <si>
    <t>Deuda maxima Coop</t>
  </si>
  <si>
    <t>Maximo monto obtenido Coop</t>
  </si>
  <si>
    <t>&gt;$5-$20</t>
  </si>
  <si>
    <t>&lt;$5 Millones</t>
  </si>
  <si>
    <t>&gt;$20 Millones</t>
  </si>
  <si>
    <t>Maximo Credito Coop</t>
  </si>
  <si>
    <t>***</t>
  </si>
  <si>
    <t>caja</t>
  </si>
  <si>
    <t>Deudas Propia sin TC ni ROT &lt;6 meses</t>
  </si>
  <si>
    <t>Figarantías</t>
  </si>
  <si>
    <t>Mora Entidad</t>
  </si>
  <si>
    <t>Criterio</t>
  </si>
  <si>
    <t>JHON ALEANDEZ BIZARRO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</si>
</sst>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$&quot;#,##0;[Red]\-&quot;$&quot;#,##0"/>
    <numFmt numFmtId="8" formatCode="&quot;$&quot;#,##0.00;[Red]\-&quot;$&quot;#,##0.00"/>
    <numFmt numFmtId="42" formatCode="_-&quot;$&quot;* #,##0_-;\-&quot;$&quot;* #,##0_-;_-&quot;$&quot;* &quot;-&quot;_-;_-@_-"/>
    <numFmt numFmtId="41" formatCode="_-* #,##0_-;\-* #,##0_-;_-* &quot;-&quot;_-;_-@_-"/>
    <numFmt numFmtId="164" formatCode="0.000%"/>
    <numFmt numFmtId="165" formatCode="_(&quot;$&quot;\ * #,##0.00_);_(&quot;$&quot;\ * \(#,##0.00\);_(&quot;$&quot;\ * &quot;-&quot;??_);_(@_)"/>
    <numFmt numFmtId="166" formatCode="_(&quot;$&quot;\ * #,##0_);_(&quot;$&quot;\ * \(#,##0\);_(&quot;$&quot;\ * &quot;-&quot;??_);_(@_)"/>
    <numFmt numFmtId="167" formatCode="_-* #,##0.00\ _p_t_a_-;\-* #,##0.00\ _p_t_a_-;_-* &quot;-&quot;??\ _p_t_a_-;_-@_-"/>
    <numFmt numFmtId="168" formatCode="_-* #,##0\ _p_t_a_-;\-* #,##0\ _p_t_a_-;_-* &quot;-&quot;??\ _p_t_a_-;_-@_-"/>
    <numFmt numFmtId="169" formatCode="0.0%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8"/>
      <name val="Arial Narrow"/>
      <family val="2"/>
    </font>
    <font>
      <b/>
      <sz val="10"/>
      <color indexed="9"/>
      <name val="Arial Narrow"/>
      <family val="2"/>
    </font>
    <font>
      <b/>
      <sz val="8"/>
      <name val="Arial Narrow"/>
      <family val="2"/>
    </font>
    <font>
      <b/>
      <sz val="12"/>
      <color indexed="9"/>
      <name val="Arial Narrow"/>
      <family val="2"/>
    </font>
    <font>
      <b/>
      <sz val="8"/>
      <color indexed="9"/>
      <name val="Arial Narrow"/>
      <family val="2"/>
    </font>
    <font>
      <b/>
      <sz val="10"/>
      <name val="Arial Narrow"/>
      <family val="2"/>
    </font>
    <font>
      <b/>
      <sz val="8"/>
      <color indexed="8"/>
      <name val="Arial Narrow"/>
      <family val="2"/>
    </font>
    <font>
      <b/>
      <sz val="12"/>
      <name val="Arial Narrow"/>
      <family val="2"/>
    </font>
    <font>
      <b/>
      <sz val="10"/>
      <color indexed="12"/>
      <name val="Arial Narrow"/>
      <family val="2"/>
    </font>
    <font>
      <b/>
      <sz val="8"/>
      <color indexed="12"/>
      <name val="Arial Narrow"/>
      <family val="2"/>
    </font>
    <font>
      <b/>
      <sz val="11"/>
      <color indexed="9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name val="Arial Narrow"/>
      <family val="2"/>
    </font>
    <font>
      <b/>
      <sz val="10"/>
      <color theme="0"/>
      <name val="Arial Narrow"/>
      <family val="2"/>
    </font>
    <font>
      <b/>
      <sz val="10"/>
      <color rgb="FFFF0000"/>
      <name val="Arial Narrow"/>
      <family val="2"/>
    </font>
    <font>
      <b/>
      <sz val="8"/>
      <color theme="0"/>
      <name val="Arial Narrow"/>
      <family val="2"/>
    </font>
    <font>
      <sz val="6"/>
      <name val="Arial Narrow"/>
      <family val="2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00FF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173">
    <xf numFmtId="0" fontId="0" fillId="0" borderId="0" xfId="0"/>
    <xf numFmtId="0" fontId="19" fillId="0" borderId="0" xfId="42" applyFont="1" applyAlignment="1">
      <alignment horizontal="center" vertical="center"/>
    </xf>
    <xf numFmtId="9" fontId="21" fillId="33" borderId="0" xfId="43" applyFont="1" applyFill="1" applyAlignment="1">
      <alignment horizontal="center" vertical="center"/>
    </xf>
    <xf numFmtId="9" fontId="19" fillId="0" borderId="0" xfId="42" applyNumberFormat="1" applyFont="1" applyAlignment="1">
      <alignment horizontal="center" vertical="center"/>
    </xf>
    <xf numFmtId="9" fontId="19" fillId="0" borderId="10" xfId="42" applyNumberFormat="1" applyFont="1" applyBorder="1" applyAlignment="1">
      <alignment horizontal="center" vertical="center"/>
    </xf>
    <xf numFmtId="0" fontId="23" fillId="33" borderId="10" xfId="42" applyFont="1" applyFill="1" applyBorder="1" applyAlignment="1">
      <alignment horizontal="center" vertical="center"/>
    </xf>
    <xf numFmtId="0" fontId="20" fillId="0" borderId="0" xfId="42" applyFont="1" applyAlignment="1">
      <alignment horizontal="center" vertical="center"/>
    </xf>
    <xf numFmtId="0" fontId="20" fillId="0" borderId="10" xfId="42" applyFont="1" applyBorder="1" applyAlignment="1">
      <alignment horizontal="left" vertical="center"/>
    </xf>
    <xf numFmtId="0" fontId="19" fillId="0" borderId="33" xfId="42" applyFont="1" applyBorder="1" applyAlignment="1">
      <alignment horizontal="center" vertical="center"/>
    </xf>
    <xf numFmtId="167" fontId="25" fillId="39" borderId="34" xfId="45" applyFont="1" applyFill="1" applyBorder="1" applyAlignment="1">
      <alignment horizontal="center" vertical="center"/>
    </xf>
    <xf numFmtId="0" fontId="19" fillId="0" borderId="24" xfId="42" applyFont="1" applyBorder="1" applyAlignment="1">
      <alignment horizontal="center" vertical="center"/>
    </xf>
    <xf numFmtId="167" fontId="25" fillId="39" borderId="10" xfId="45" applyFont="1" applyFill="1" applyBorder="1" applyAlignment="1">
      <alignment horizontal="center" vertical="center"/>
    </xf>
    <xf numFmtId="9" fontId="19" fillId="35" borderId="10" xfId="42" applyNumberFormat="1" applyFont="1" applyFill="1" applyBorder="1" applyAlignment="1">
      <alignment horizontal="center" vertical="center"/>
    </xf>
    <xf numFmtId="0" fontId="19" fillId="34" borderId="24" xfId="42" applyFont="1" applyFill="1" applyBorder="1" applyAlignment="1">
      <alignment horizontal="center" vertical="center"/>
    </xf>
    <xf numFmtId="0" fontId="25" fillId="39" borderId="10" xfId="45" applyNumberFormat="1" applyFont="1" applyFill="1" applyBorder="1" applyAlignment="1">
      <alignment horizontal="center" vertical="center"/>
    </xf>
    <xf numFmtId="0" fontId="21" fillId="39" borderId="10" xfId="42" applyNumberFormat="1" applyFont="1" applyFill="1" applyBorder="1" applyAlignment="1">
      <alignment horizontal="center" vertical="center"/>
    </xf>
    <xf numFmtId="0" fontId="19" fillId="35" borderId="24" xfId="42" applyFont="1" applyFill="1" applyBorder="1" applyAlignment="1">
      <alignment horizontal="center" vertical="center"/>
    </xf>
    <xf numFmtId="0" fontId="21" fillId="39" borderId="10" xfId="45" applyNumberFormat="1" applyFont="1" applyFill="1" applyBorder="1" applyAlignment="1">
      <alignment horizontal="center" vertical="center"/>
    </xf>
    <xf numFmtId="9" fontId="21" fillId="39" borderId="10" xfId="43" applyFont="1" applyFill="1" applyBorder="1" applyAlignment="1">
      <alignment horizontal="center" vertical="center"/>
    </xf>
    <xf numFmtId="9" fontId="25" fillId="39" borderId="10" xfId="43" applyFont="1" applyFill="1" applyBorder="1" applyAlignment="1">
      <alignment horizontal="center" vertical="center"/>
    </xf>
    <xf numFmtId="0" fontId="21" fillId="36" borderId="38" xfId="42" applyFont="1" applyFill="1" applyBorder="1" applyAlignment="1">
      <alignment horizontal="center" vertical="center"/>
    </xf>
    <xf numFmtId="0" fontId="21" fillId="36" borderId="12" xfId="42" applyFont="1" applyFill="1" applyBorder="1" applyAlignment="1">
      <alignment horizontal="center" vertical="center"/>
    </xf>
    <xf numFmtId="0" fontId="19" fillId="0" borderId="24" xfId="42" applyFont="1" applyBorder="1" applyAlignment="1" applyProtection="1">
      <alignment horizontal="center" vertical="center"/>
      <protection locked="0"/>
    </xf>
    <xf numFmtId="166" fontId="19" fillId="37" borderId="10" xfId="44" applyNumberFormat="1" applyFont="1" applyFill="1" applyBorder="1" applyAlignment="1">
      <alignment horizontal="center" vertical="center"/>
    </xf>
    <xf numFmtId="166" fontId="19" fillId="0" borderId="10" xfId="44" applyNumberFormat="1" applyFont="1" applyBorder="1" applyAlignment="1" applyProtection="1">
      <alignment horizontal="right" vertical="center"/>
      <protection locked="0"/>
    </xf>
    <xf numFmtId="0" fontId="19" fillId="0" borderId="24" xfId="42" applyFont="1" applyBorder="1" applyAlignment="1" applyProtection="1">
      <alignment vertical="center"/>
      <protection locked="0"/>
    </xf>
    <xf numFmtId="0" fontId="19" fillId="0" borderId="24" xfId="42" applyFont="1" applyBorder="1" applyAlignment="1">
      <alignment vertical="center"/>
    </xf>
    <xf numFmtId="0" fontId="19" fillId="0" borderId="10" xfId="42" applyFont="1" applyBorder="1" applyAlignment="1" applyProtection="1">
      <alignment horizontal="left" vertical="center"/>
      <protection locked="0"/>
    </xf>
    <xf numFmtId="0" fontId="19" fillId="37" borderId="10" xfId="42" applyFont="1" applyFill="1" applyBorder="1" applyAlignment="1">
      <alignment vertical="center"/>
    </xf>
    <xf numFmtId="166" fontId="21" fillId="38" borderId="10" xfId="44" applyNumberFormat="1" applyFont="1" applyFill="1" applyBorder="1" applyAlignment="1">
      <alignment vertical="center"/>
    </xf>
    <xf numFmtId="166" fontId="19" fillId="0" borderId="10" xfId="44" applyNumberFormat="1" applyFont="1" applyBorder="1" applyAlignment="1" applyProtection="1">
      <alignment vertical="center"/>
      <protection locked="0"/>
    </xf>
    <xf numFmtId="166" fontId="28" fillId="0" borderId="10" xfId="44" applyNumberFormat="1" applyFont="1" applyBorder="1" applyAlignment="1" applyProtection="1">
      <alignment horizontal="center" vertical="center"/>
      <protection locked="0"/>
    </xf>
    <xf numFmtId="0" fontId="19" fillId="0" borderId="10" xfId="42" applyFont="1" applyBorder="1" applyAlignment="1">
      <alignment horizontal="center" vertical="center"/>
    </xf>
    <xf numFmtId="0" fontId="28" fillId="0" borderId="0" xfId="42" applyFont="1" applyAlignment="1">
      <alignment horizontal="center" vertical="center"/>
    </xf>
    <xf numFmtId="8" fontId="19" fillId="0" borderId="0" xfId="42" applyNumberFormat="1" applyFont="1" applyAlignment="1">
      <alignment horizontal="center" vertical="center"/>
    </xf>
    <xf numFmtId="0" fontId="33" fillId="0" borderId="24" xfId="42" applyFont="1" applyBorder="1" applyAlignment="1">
      <alignment horizontal="center" vertical="center"/>
    </xf>
    <xf numFmtId="0" fontId="25" fillId="0" borderId="10" xfId="42" applyFont="1" applyBorder="1" applyAlignment="1" applyProtection="1">
      <alignment horizontal="center" vertical="center"/>
      <protection locked="0"/>
    </xf>
    <xf numFmtId="0" fontId="25" fillId="0" borderId="10" xfId="45" applyNumberFormat="1" applyFont="1" applyBorder="1" applyAlignment="1" applyProtection="1">
      <alignment horizontal="right" vertical="center"/>
      <protection locked="0"/>
    </xf>
    <xf numFmtId="41" fontId="19" fillId="0" borderId="0" xfId="46" applyFont="1" applyAlignment="1">
      <alignment horizontal="center" vertical="center"/>
    </xf>
    <xf numFmtId="166" fontId="25" fillId="0" borderId="10" xfId="44" applyNumberFormat="1" applyFont="1" applyBorder="1" applyAlignment="1" applyProtection="1">
      <alignment horizontal="center" vertical="center"/>
      <protection locked="0"/>
    </xf>
    <xf numFmtId="166" fontId="35" fillId="0" borderId="10" xfId="44" applyNumberFormat="1" applyFont="1" applyBorder="1" applyAlignment="1" applyProtection="1">
      <alignment horizontal="center" vertical="center"/>
      <protection locked="0"/>
    </xf>
    <xf numFmtId="0" fontId="30" fillId="38" borderId="44" xfId="42" applyFont="1" applyFill="1" applyBorder="1" applyAlignment="1" applyProtection="1">
      <alignment horizontal="left" vertical="center"/>
    </xf>
    <xf numFmtId="0" fontId="24" fillId="38" borderId="23" xfId="42" applyFont="1" applyFill="1" applyBorder="1" applyAlignment="1" applyProtection="1">
      <alignment horizontal="left" vertical="center"/>
    </xf>
    <xf numFmtId="0" fontId="19" fillId="37" borderId="23" xfId="42" applyFont="1" applyFill="1" applyBorder="1" applyAlignment="1" applyProtection="1">
      <alignment horizontal="left" vertical="center"/>
    </xf>
    <xf numFmtId="0" fontId="21" fillId="38" borderId="23" xfId="42" applyFont="1" applyFill="1" applyBorder="1" applyAlignment="1" applyProtection="1">
      <alignment horizontal="left" vertical="center"/>
    </xf>
    <xf numFmtId="0" fontId="21" fillId="36" borderId="39" xfId="42" applyFont="1" applyFill="1" applyBorder="1" applyAlignment="1">
      <alignment horizontal="left" vertical="center"/>
    </xf>
    <xf numFmtId="0" fontId="20" fillId="37" borderId="23" xfId="42" applyFont="1" applyFill="1" applyBorder="1" applyAlignment="1">
      <alignment horizontal="left" vertical="center"/>
    </xf>
    <xf numFmtId="0" fontId="20" fillId="37" borderId="19" xfId="42" applyFont="1" applyFill="1" applyBorder="1" applyAlignment="1">
      <alignment horizontal="left" vertical="center"/>
    </xf>
    <xf numFmtId="0" fontId="20" fillId="0" borderId="0" xfId="42" applyFont="1" applyAlignment="1">
      <alignment horizontal="left" vertical="center"/>
    </xf>
    <xf numFmtId="0" fontId="22" fillId="37" borderId="10" xfId="42" applyFont="1" applyFill="1" applyBorder="1" applyAlignment="1">
      <alignment horizontal="left" vertical="center"/>
    </xf>
    <xf numFmtId="0" fontId="19" fillId="0" borderId="0" xfId="42" applyFont="1" applyAlignment="1">
      <alignment horizontal="left" vertical="center"/>
    </xf>
    <xf numFmtId="42" fontId="34" fillId="42" borderId="10" xfId="47" applyFont="1" applyFill="1" applyBorder="1" applyAlignment="1" applyProtection="1">
      <alignment horizontal="center" vertical="center"/>
      <protection locked="0"/>
    </xf>
    <xf numFmtId="0" fontId="27" fillId="41" borderId="47" xfId="42" applyFont="1" applyFill="1" applyBorder="1" applyAlignment="1">
      <alignment horizontal="center" vertical="center"/>
    </xf>
    <xf numFmtId="167" fontId="27" fillId="39" borderId="48" xfId="45" applyFont="1" applyFill="1" applyBorder="1" applyAlignment="1">
      <alignment horizontal="right"/>
    </xf>
    <xf numFmtId="10" fontId="25" fillId="0" borderId="10" xfId="47" applyNumberFormat="1" applyFont="1" applyBorder="1" applyAlignment="1" applyProtection="1">
      <alignment horizontal="center" vertical="center"/>
      <protection locked="0"/>
    </xf>
    <xf numFmtId="0" fontId="34" fillId="42" borderId="10" xfId="42" applyFont="1" applyFill="1" applyBorder="1" applyAlignment="1">
      <alignment horizontal="left" vertical="center"/>
    </xf>
    <xf numFmtId="6" fontId="34" fillId="42" borderId="10" xfId="42" applyNumberFormat="1" applyFont="1" applyFill="1" applyBorder="1" applyAlignment="1">
      <alignment horizontal="right" vertical="center"/>
    </xf>
    <xf numFmtId="41" fontId="25" fillId="0" borderId="10" xfId="46" applyFont="1" applyBorder="1" applyAlignment="1" applyProtection="1">
      <alignment horizontal="center" vertical="center"/>
      <protection locked="0"/>
    </xf>
    <xf numFmtId="166" fontId="34" fillId="42" borderId="10" xfId="44" applyNumberFormat="1" applyFont="1" applyFill="1" applyBorder="1" applyAlignment="1" applyProtection="1">
      <alignment horizontal="right" vertical="center"/>
      <protection locked="0"/>
    </xf>
    <xf numFmtId="166" fontId="21" fillId="39" borderId="10" xfId="43" applyNumberFormat="1" applyFont="1" applyFill="1" applyBorder="1" applyAlignment="1">
      <alignment horizontal="center" vertical="center"/>
    </xf>
    <xf numFmtId="0" fontId="30" fillId="38" borderId="43" xfId="42" applyFont="1" applyFill="1" applyBorder="1" applyAlignment="1" applyProtection="1">
      <alignment horizontal="center" vertical="center"/>
    </xf>
    <xf numFmtId="0" fontId="21" fillId="38" borderId="43" xfId="42" applyFont="1" applyFill="1" applyBorder="1" applyAlignment="1">
      <alignment horizontal="center" vertical="center"/>
    </xf>
    <xf numFmtId="0" fontId="30" fillId="38" borderId="43" xfId="42" applyFont="1" applyFill="1" applyBorder="1" applyAlignment="1">
      <alignment horizontal="center" vertical="center"/>
    </xf>
    <xf numFmtId="0" fontId="24" fillId="38" borderId="10" xfId="42" applyFont="1" applyFill="1" applyBorder="1" applyAlignment="1" applyProtection="1">
      <alignment horizontal="center" vertical="center"/>
    </xf>
    <xf numFmtId="0" fontId="19" fillId="37" borderId="10" xfId="42" applyFont="1" applyFill="1" applyBorder="1" applyAlignment="1" applyProtection="1">
      <alignment horizontal="center" vertical="center"/>
    </xf>
    <xf numFmtId="0" fontId="19" fillId="37" borderId="10" xfId="42" applyFont="1" applyFill="1" applyBorder="1" applyAlignment="1">
      <alignment horizontal="center" vertical="center"/>
    </xf>
    <xf numFmtId="0" fontId="20" fillId="37" borderId="10" xfId="42" applyFont="1" applyFill="1" applyBorder="1" applyAlignment="1">
      <alignment horizontal="center" vertical="center"/>
    </xf>
    <xf numFmtId="0" fontId="28" fillId="37" borderId="10" xfId="42" applyFont="1" applyFill="1" applyBorder="1" applyAlignment="1">
      <alignment horizontal="center" vertical="center"/>
    </xf>
    <xf numFmtId="0" fontId="21" fillId="38" borderId="10" xfId="42" applyFont="1" applyFill="1" applyBorder="1" applyAlignment="1">
      <alignment horizontal="center" vertical="center"/>
    </xf>
    <xf numFmtId="0" fontId="20" fillId="0" borderId="24" xfId="42" applyFont="1" applyBorder="1" applyAlignment="1">
      <alignment vertical="center"/>
    </xf>
    <xf numFmtId="0" fontId="21" fillId="38" borderId="10" xfId="42" applyFont="1" applyFill="1" applyBorder="1" applyAlignment="1" applyProtection="1">
      <alignment horizontal="center" vertical="center"/>
    </xf>
    <xf numFmtId="0" fontId="22" fillId="37" borderId="10" xfId="42" applyFont="1" applyFill="1" applyBorder="1" applyAlignment="1" applyProtection="1">
      <alignment horizontal="center" vertical="center"/>
    </xf>
    <xf numFmtId="0" fontId="20" fillId="37" borderId="10" xfId="42" applyFont="1" applyFill="1" applyBorder="1" applyAlignment="1" applyProtection="1">
      <alignment horizontal="center" vertical="center"/>
    </xf>
    <xf numFmtId="0" fontId="34" fillId="42" borderId="10" xfId="42" applyFont="1" applyFill="1" applyBorder="1" applyAlignment="1">
      <alignment horizontal="center" vertical="center"/>
    </xf>
    <xf numFmtId="0" fontId="21" fillId="36" borderId="13" xfId="42" applyFont="1" applyFill="1" applyBorder="1" applyAlignment="1">
      <alignment horizontal="center" vertical="center"/>
    </xf>
    <xf numFmtId="0" fontId="24" fillId="36" borderId="39" xfId="42" applyFont="1" applyFill="1" applyBorder="1" applyAlignment="1">
      <alignment horizontal="center" vertical="center"/>
    </xf>
    <xf numFmtId="0" fontId="24" fillId="36" borderId="12" xfId="42" applyFont="1" applyFill="1" applyBorder="1" applyAlignment="1">
      <alignment horizontal="center" vertical="center"/>
    </xf>
    <xf numFmtId="0" fontId="22" fillId="35" borderId="11" xfId="42" applyFont="1" applyFill="1" applyBorder="1" applyAlignment="1">
      <alignment horizontal="center" vertical="center"/>
    </xf>
    <xf numFmtId="0" fontId="20" fillId="35" borderId="10" xfId="42" applyFont="1" applyFill="1" applyBorder="1" applyAlignment="1">
      <alignment horizontal="center" vertical="center"/>
    </xf>
    <xf numFmtId="0" fontId="24" fillId="40" borderId="23" xfId="42" applyFont="1" applyFill="1" applyBorder="1" applyAlignment="1">
      <alignment horizontal="center" vertical="center"/>
    </xf>
    <xf numFmtId="0" fontId="24" fillId="39" borderId="10" xfId="42" applyFont="1" applyFill="1" applyBorder="1" applyAlignment="1">
      <alignment horizontal="center" vertical="center"/>
    </xf>
    <xf numFmtId="16" fontId="20" fillId="37" borderId="10" xfId="42" quotePrefix="1" applyNumberFormat="1" applyFont="1" applyFill="1" applyBorder="1" applyAlignment="1">
      <alignment horizontal="center" vertical="center"/>
    </xf>
    <xf numFmtId="0" fontId="20" fillId="34" borderId="10" xfId="42" applyFont="1" applyFill="1" applyBorder="1" applyAlignment="1">
      <alignment horizontal="center" vertical="center"/>
    </xf>
    <xf numFmtId="3" fontId="20" fillId="37" borderId="10" xfId="42" applyNumberFormat="1" applyFont="1" applyFill="1" applyBorder="1" applyAlignment="1">
      <alignment horizontal="center" vertical="center"/>
    </xf>
    <xf numFmtId="0" fontId="20" fillId="0" borderId="34" xfId="42" applyFont="1" applyBorder="1" applyAlignment="1">
      <alignment horizontal="center" vertical="center"/>
    </xf>
    <xf numFmtId="0" fontId="24" fillId="40" borderId="35" xfId="42" applyFont="1" applyFill="1" applyBorder="1" applyAlignment="1">
      <alignment horizontal="center" vertical="center"/>
    </xf>
    <xf numFmtId="16" fontId="20" fillId="37" borderId="34" xfId="42" quotePrefix="1" applyNumberFormat="1" applyFont="1" applyFill="1" applyBorder="1" applyAlignment="1">
      <alignment horizontal="center" vertical="center"/>
    </xf>
    <xf numFmtId="0" fontId="24" fillId="39" borderId="34" xfId="42" applyFont="1" applyFill="1" applyBorder="1" applyAlignment="1">
      <alignment horizontal="center" vertical="center"/>
    </xf>
    <xf numFmtId="0" fontId="24" fillId="0" borderId="21" xfId="42" applyFont="1" applyBorder="1" applyAlignment="1">
      <alignment vertical="center"/>
    </xf>
    <xf numFmtId="0" fontId="20" fillId="0" borderId="17" xfId="42" applyFont="1" applyBorder="1" applyAlignment="1" applyProtection="1">
      <alignment horizontal="center" vertical="center"/>
      <protection locked="0"/>
    </xf>
    <xf numFmtId="0" fontId="24" fillId="33" borderId="12" xfId="42" applyFont="1" applyFill="1" applyBorder="1" applyAlignment="1">
      <alignment horizontal="center" vertical="center"/>
    </xf>
    <xf numFmtId="0" fontId="37" fillId="0" borderId="0" xfId="42" applyFont="1" applyAlignment="1">
      <alignment horizontal="center" vertical="center"/>
    </xf>
    <xf numFmtId="42" fontId="19" fillId="0" borderId="24" xfId="47" applyFont="1" applyBorder="1" applyAlignment="1" applyProtection="1">
      <alignment horizontal="center" vertical="center"/>
      <protection locked="0"/>
    </xf>
    <xf numFmtId="0" fontId="19" fillId="0" borderId="0" xfId="42" applyFont="1" applyAlignment="1">
      <alignment horizontal="right" vertical="center"/>
    </xf>
    <xf numFmtId="168" fontId="28" fillId="0" borderId="43" xfId="45" applyNumberFormat="1" applyFont="1" applyBorder="1" applyAlignment="1" applyProtection="1">
      <alignment horizontal="center" vertical="center"/>
      <protection locked="0"/>
    </xf>
    <xf numFmtId="166" fontId="21" fillId="38" borderId="10" xfId="44" applyNumberFormat="1" applyFont="1" applyFill="1" applyBorder="1" applyAlignment="1">
      <alignment horizontal="center" vertical="center"/>
    </xf>
    <xf numFmtId="166" fontId="19" fillId="0" borderId="10" xfId="44" applyNumberFormat="1" applyFont="1" applyBorder="1" applyAlignment="1" applyProtection="1">
      <alignment horizontal="center" vertical="center"/>
      <protection locked="0"/>
    </xf>
    <xf numFmtId="0" fontId="28" fillId="0" borderId="43" xfId="42" applyFont="1" applyBorder="1" applyAlignment="1" applyProtection="1">
      <alignment horizontal="center" vertical="center"/>
      <protection locked="0"/>
    </xf>
    <xf numFmtId="0" fontId="19" fillId="37" borderId="10" xfId="42" applyFont="1" applyFill="1" applyBorder="1" applyAlignment="1">
      <alignment horizontal="left" vertical="center"/>
    </xf>
    <xf numFmtId="0" fontId="22" fillId="37" borderId="10" xfId="42" applyFont="1" applyFill="1" applyBorder="1" applyAlignment="1">
      <alignment horizontal="center" vertical="center"/>
    </xf>
    <xf numFmtId="0" fontId="25" fillId="37" borderId="10" xfId="42" applyFont="1" applyFill="1" applyBorder="1" applyAlignment="1">
      <alignment horizontal="center" vertical="center"/>
    </xf>
    <xf numFmtId="0" fontId="19" fillId="0" borderId="22" xfId="42" applyFont="1" applyBorder="1" applyAlignment="1" applyProtection="1">
      <alignment horizontal="center" vertical="center"/>
      <protection locked="0"/>
    </xf>
    <xf numFmtId="0" fontId="19" fillId="0" borderId="21" xfId="42" applyFont="1" applyBorder="1" applyAlignment="1" applyProtection="1">
      <alignment horizontal="center" vertical="center"/>
      <protection locked="0"/>
    </xf>
    <xf numFmtId="0" fontId="19" fillId="0" borderId="20" xfId="42" applyFont="1" applyBorder="1" applyAlignment="1" applyProtection="1">
      <alignment horizontal="center" vertical="center"/>
      <protection locked="0"/>
    </xf>
    <xf numFmtId="166" fontId="19" fillId="0" borderId="10" xfId="44" applyNumberFormat="1" applyFont="1" applyBorder="1" applyAlignment="1">
      <alignment horizontal="center" vertical="center"/>
    </xf>
    <xf numFmtId="0" fontId="19" fillId="37" borderId="22" xfId="42" applyFont="1" applyFill="1" applyBorder="1" applyAlignment="1">
      <alignment horizontal="left" vertical="center"/>
    </xf>
    <xf numFmtId="0" fontId="19" fillId="37" borderId="11" xfId="42" applyFont="1" applyFill="1" applyBorder="1" applyAlignment="1">
      <alignment horizontal="left" vertical="center"/>
    </xf>
    <xf numFmtId="0" fontId="24" fillId="38" borderId="10" xfId="42" applyFont="1" applyFill="1" applyBorder="1" applyAlignment="1">
      <alignment horizontal="center" vertical="center"/>
    </xf>
    <xf numFmtId="0" fontId="19" fillId="0" borderId="10" xfId="42" applyFont="1" applyBorder="1" applyAlignment="1" applyProtection="1">
      <alignment horizontal="center" vertical="center"/>
      <protection locked="0"/>
    </xf>
    <xf numFmtId="0" fontId="20" fillId="0" borderId="10" xfId="42" applyFont="1" applyBorder="1" applyAlignment="1" applyProtection="1">
      <alignment horizontal="center" vertical="center"/>
      <protection locked="0"/>
    </xf>
    <xf numFmtId="0" fontId="20" fillId="0" borderId="10" xfId="42" applyFont="1" applyBorder="1" applyAlignment="1">
      <alignment horizontal="center" vertical="center"/>
    </xf>
    <xf numFmtId="0" fontId="20" fillId="37" borderId="10" xfId="42" applyFont="1" applyFill="1" applyBorder="1" applyAlignment="1">
      <alignment horizontal="left" vertical="center"/>
    </xf>
    <xf numFmtId="0" fontId="29" fillId="0" borderId="42" xfId="42" applyFont="1" applyBorder="1" applyAlignment="1">
      <alignment horizontal="center" vertical="center"/>
    </xf>
    <xf numFmtId="0" fontId="24" fillId="33" borderId="10" xfId="42" applyFont="1" applyFill="1" applyBorder="1" applyAlignment="1">
      <alignment horizontal="center" vertical="center"/>
    </xf>
    <xf numFmtId="169" fontId="25" fillId="39" borderId="10" xfId="43" applyNumberFormat="1" applyFont="1" applyFill="1" applyBorder="1" applyAlignment="1">
      <alignment horizontal="center" vertical="center"/>
    </xf>
    <xf numFmtId="0" fontId="20" fillId="35" borderId="22" xfId="42" applyFont="1" applyFill="1" applyBorder="1" applyAlignment="1">
      <alignment horizontal="center" vertical="center"/>
    </xf>
    <xf numFmtId="0" fontId="20" fillId="35" borderId="20" xfId="42" applyFont="1" applyFill="1" applyBorder="1" applyAlignment="1">
      <alignment horizontal="center" vertical="center"/>
    </xf>
    <xf numFmtId="168" fontId="28" fillId="0" borderId="43" xfId="45" applyNumberFormat="1" applyFont="1" applyBorder="1" applyAlignment="1" applyProtection="1">
      <alignment horizontal="center" vertical="center"/>
      <protection locked="0"/>
    </xf>
    <xf numFmtId="166" fontId="21" fillId="38" borderId="10" xfId="44" applyNumberFormat="1" applyFont="1" applyFill="1" applyBorder="1" applyAlignment="1">
      <alignment horizontal="center" vertical="center"/>
    </xf>
    <xf numFmtId="166" fontId="19" fillId="0" borderId="10" xfId="44" applyNumberFormat="1" applyFont="1" applyBorder="1" applyAlignment="1" applyProtection="1">
      <alignment horizontal="center" vertical="center"/>
      <protection locked="0"/>
    </xf>
    <xf numFmtId="0" fontId="28" fillId="0" borderId="43" xfId="42" applyFont="1" applyBorder="1" applyAlignment="1" applyProtection="1">
      <alignment horizontal="center" vertical="center"/>
      <protection locked="0"/>
    </xf>
    <xf numFmtId="0" fontId="23" fillId="33" borderId="27" xfId="42" applyFont="1" applyFill="1" applyBorder="1" applyAlignment="1">
      <alignment horizontal="center" vertical="center"/>
    </xf>
    <xf numFmtId="0" fontId="23" fillId="33" borderId="26" xfId="42" applyFont="1" applyFill="1" applyBorder="1" applyAlignment="1">
      <alignment horizontal="center" vertical="center"/>
    </xf>
    <xf numFmtId="0" fontId="23" fillId="33" borderId="46" xfId="42" applyFont="1" applyFill="1" applyBorder="1" applyAlignment="1">
      <alignment horizontal="center" vertical="center"/>
    </xf>
    <xf numFmtId="0" fontId="19" fillId="37" borderId="10" xfId="42" applyFont="1" applyFill="1" applyBorder="1" applyAlignment="1">
      <alignment horizontal="left" vertical="center"/>
    </xf>
    <xf numFmtId="0" fontId="22" fillId="34" borderId="23" xfId="42" applyFont="1" applyFill="1" applyBorder="1" applyAlignment="1">
      <alignment horizontal="center" vertical="center" wrapText="1"/>
    </xf>
    <xf numFmtId="0" fontId="21" fillId="36" borderId="41" xfId="42" applyFont="1" applyFill="1" applyBorder="1" applyAlignment="1">
      <alignment horizontal="center" vertical="center"/>
    </xf>
    <xf numFmtId="0" fontId="21" fillId="36" borderId="40" xfId="42" applyFont="1" applyFill="1" applyBorder="1" applyAlignment="1">
      <alignment horizontal="center" vertical="center"/>
    </xf>
    <xf numFmtId="0" fontId="22" fillId="0" borderId="23" xfId="42" applyFont="1" applyBorder="1" applyAlignment="1">
      <alignment horizontal="center" vertical="center" wrapText="1"/>
    </xf>
    <xf numFmtId="0" fontId="20" fillId="0" borderId="22" xfId="42" applyFont="1" applyBorder="1" applyAlignment="1">
      <alignment horizontal="center" vertical="center"/>
    </xf>
    <xf numFmtId="0" fontId="20" fillId="0" borderId="20" xfId="42" applyFont="1" applyBorder="1" applyAlignment="1">
      <alignment horizontal="center" vertical="center"/>
    </xf>
    <xf numFmtId="0" fontId="20" fillId="34" borderId="22" xfId="42" applyFont="1" applyFill="1" applyBorder="1" applyAlignment="1">
      <alignment horizontal="center" vertical="center"/>
    </xf>
    <xf numFmtId="0" fontId="20" fillId="34" borderId="20" xfId="42" applyFont="1" applyFill="1" applyBorder="1" applyAlignment="1">
      <alignment horizontal="center" vertical="center"/>
    </xf>
    <xf numFmtId="0" fontId="22" fillId="35" borderId="23" xfId="42" applyFont="1" applyFill="1" applyBorder="1" applyAlignment="1">
      <alignment horizontal="center" vertical="center" wrapText="1"/>
    </xf>
    <xf numFmtId="0" fontId="22" fillId="37" borderId="10" xfId="42" applyFont="1" applyFill="1" applyBorder="1" applyAlignment="1">
      <alignment horizontal="center" vertical="center"/>
    </xf>
    <xf numFmtId="0" fontId="25" fillId="37" borderId="10" xfId="42" applyFont="1" applyFill="1" applyBorder="1" applyAlignment="1">
      <alignment horizontal="center" vertical="center"/>
    </xf>
    <xf numFmtId="0" fontId="25" fillId="37" borderId="24" xfId="42" applyFont="1" applyFill="1" applyBorder="1" applyAlignment="1">
      <alignment horizontal="center" vertical="center"/>
    </xf>
    <xf numFmtId="0" fontId="19" fillId="0" borderId="22" xfId="42" applyFont="1" applyBorder="1" applyAlignment="1" applyProtection="1">
      <alignment horizontal="center" vertical="center"/>
      <protection locked="0"/>
    </xf>
    <xf numFmtId="0" fontId="19" fillId="0" borderId="21" xfId="42" applyFont="1" applyBorder="1" applyAlignment="1" applyProtection="1">
      <alignment horizontal="center" vertical="center"/>
      <protection locked="0"/>
    </xf>
    <xf numFmtId="0" fontId="19" fillId="0" borderId="20" xfId="42" applyFont="1" applyBorder="1" applyAlignment="1" applyProtection="1">
      <alignment horizontal="center" vertical="center"/>
      <protection locked="0"/>
    </xf>
    <xf numFmtId="166" fontId="19" fillId="0" borderId="10" xfId="44" applyNumberFormat="1" applyFont="1" applyBorder="1" applyAlignment="1">
      <alignment horizontal="center" vertical="center"/>
    </xf>
    <xf numFmtId="0" fontId="19" fillId="0" borderId="16" xfId="42" applyFont="1" applyBorder="1" applyAlignment="1" applyProtection="1">
      <alignment horizontal="center" vertical="center"/>
      <protection locked="0"/>
    </xf>
    <xf numFmtId="0" fontId="19" fillId="0" borderId="15" xfId="42" applyFont="1" applyBorder="1" applyAlignment="1" applyProtection="1">
      <alignment horizontal="center" vertical="center"/>
      <protection locked="0"/>
    </xf>
    <xf numFmtId="0" fontId="19" fillId="0" borderId="14" xfId="42" applyFont="1" applyBorder="1" applyAlignment="1" applyProtection="1">
      <alignment horizontal="center" vertical="center"/>
      <protection locked="0"/>
    </xf>
    <xf numFmtId="0" fontId="19" fillId="37" borderId="22" xfId="42" applyFont="1" applyFill="1" applyBorder="1" applyAlignment="1">
      <alignment horizontal="center" vertical="center"/>
    </xf>
    <xf numFmtId="0" fontId="19" fillId="37" borderId="11" xfId="42" applyFont="1" applyFill="1" applyBorder="1" applyAlignment="1">
      <alignment horizontal="center" vertical="center"/>
    </xf>
    <xf numFmtId="0" fontId="19" fillId="37" borderId="22" xfId="42" applyFont="1" applyFill="1" applyBorder="1" applyAlignment="1">
      <alignment horizontal="left" vertical="center"/>
    </xf>
    <xf numFmtId="0" fontId="19" fillId="37" borderId="11" xfId="42" applyFont="1" applyFill="1" applyBorder="1" applyAlignment="1">
      <alignment horizontal="left" vertical="center"/>
    </xf>
    <xf numFmtId="0" fontId="24" fillId="38" borderId="10" xfId="42" applyFont="1" applyFill="1" applyBorder="1" applyAlignment="1">
      <alignment horizontal="center" vertical="center"/>
    </xf>
    <xf numFmtId="0" fontId="19" fillId="0" borderId="11" xfId="42" applyFont="1" applyBorder="1" applyAlignment="1" applyProtection="1">
      <alignment horizontal="center" vertical="center"/>
      <protection locked="0"/>
    </xf>
    <xf numFmtId="0" fontId="19" fillId="0" borderId="10" xfId="42" applyFont="1" applyBorder="1" applyAlignment="1" applyProtection="1">
      <alignment horizontal="center" vertical="center"/>
      <protection locked="0"/>
    </xf>
    <xf numFmtId="0" fontId="19" fillId="0" borderId="17" xfId="42" applyFont="1" applyBorder="1" applyAlignment="1" applyProtection="1">
      <alignment horizontal="center" vertical="center"/>
      <protection locked="0"/>
    </xf>
    <xf numFmtId="0" fontId="20" fillId="0" borderId="37" xfId="42" applyFont="1" applyBorder="1" applyAlignment="1">
      <alignment horizontal="center" vertical="center"/>
    </xf>
    <xf numFmtId="0" fontId="20" fillId="0" borderId="36" xfId="42" applyFont="1" applyBorder="1" applyAlignment="1">
      <alignment horizontal="center" vertical="center"/>
    </xf>
    <xf numFmtId="164" fontId="20" fillId="0" borderId="10" xfId="42" applyNumberFormat="1" applyFont="1" applyBorder="1" applyAlignment="1" applyProtection="1">
      <alignment horizontal="center" vertical="center"/>
      <protection locked="0"/>
    </xf>
    <xf numFmtId="0" fontId="20" fillId="0" borderId="10" xfId="42" applyFont="1" applyBorder="1" applyAlignment="1" applyProtection="1">
      <alignment horizontal="center" vertical="center"/>
      <protection locked="0"/>
    </xf>
    <xf numFmtId="0" fontId="23" fillId="38" borderId="23" xfId="42" applyFont="1" applyFill="1" applyBorder="1" applyAlignment="1">
      <alignment horizontal="center" vertical="center"/>
    </xf>
    <xf numFmtId="0" fontId="23" fillId="38" borderId="10" xfId="42" applyFont="1" applyFill="1" applyBorder="1" applyAlignment="1">
      <alignment horizontal="center" vertical="center"/>
    </xf>
    <xf numFmtId="166" fontId="20" fillId="0" borderId="10" xfId="44" applyNumberFormat="1" applyFont="1" applyBorder="1" applyAlignment="1" applyProtection="1">
      <alignment horizontal="center" vertical="center"/>
      <protection locked="0"/>
    </xf>
    <xf numFmtId="0" fontId="20" fillId="0" borderId="10" xfId="42" applyFont="1" applyBorder="1" applyAlignment="1">
      <alignment horizontal="center" vertical="center"/>
    </xf>
    <xf numFmtId="0" fontId="36" fillId="42" borderId="32" xfId="42" applyFont="1" applyFill="1" applyBorder="1" applyAlignment="1" applyProtection="1">
      <alignment horizontal="center" vertical="center"/>
    </xf>
    <xf numFmtId="0" fontId="36" fillId="42" borderId="45" xfId="42" applyFont="1" applyFill="1" applyBorder="1" applyAlignment="1" applyProtection="1">
      <alignment horizontal="center" vertical="center"/>
    </xf>
    <xf numFmtId="0" fontId="24" fillId="38" borderId="32" xfId="42" applyFont="1" applyFill="1" applyBorder="1" applyAlignment="1">
      <alignment horizontal="left" vertical="center"/>
    </xf>
    <xf numFmtId="0" fontId="24" fillId="38" borderId="28" xfId="42" applyFont="1" applyFill="1" applyBorder="1" applyAlignment="1">
      <alignment horizontal="left" vertical="center"/>
    </xf>
    <xf numFmtId="0" fontId="26" fillId="0" borderId="31" xfId="42" applyFont="1" applyBorder="1" applyAlignment="1" applyProtection="1">
      <alignment horizontal="center" vertical="center"/>
      <protection locked="0"/>
    </xf>
    <xf numFmtId="0" fontId="26" fillId="0" borderId="30" xfId="42" applyFont="1" applyBorder="1" applyAlignment="1" applyProtection="1">
      <alignment horizontal="center" vertical="center"/>
      <protection locked="0"/>
    </xf>
    <xf numFmtId="0" fontId="26" fillId="0" borderId="29" xfId="42" applyFont="1" applyBorder="1" applyAlignment="1" applyProtection="1">
      <alignment horizontal="center" vertical="center"/>
      <protection locked="0"/>
    </xf>
    <xf numFmtId="0" fontId="26" fillId="0" borderId="27" xfId="42" applyFont="1" applyBorder="1" applyAlignment="1" applyProtection="1">
      <alignment horizontal="center" vertical="center"/>
      <protection locked="0"/>
    </xf>
    <xf numFmtId="0" fontId="26" fillId="0" borderId="26" xfId="42" applyFont="1" applyBorder="1" applyAlignment="1" applyProtection="1">
      <alignment horizontal="center" vertical="center"/>
      <protection locked="0"/>
    </xf>
    <xf numFmtId="0" fontId="26" fillId="0" borderId="25" xfId="42" applyFont="1" applyBorder="1" applyAlignment="1" applyProtection="1">
      <alignment horizontal="center" vertical="center"/>
      <protection locked="0"/>
    </xf>
    <xf numFmtId="0" fontId="23" fillId="38" borderId="24" xfId="42" applyFont="1" applyFill="1" applyBorder="1" applyAlignment="1">
      <alignment horizontal="center" vertical="center"/>
    </xf>
    <xf numFmtId="0" fontId="20" fillId="0" borderId="16" xfId="42" applyFont="1" applyBorder="1" applyAlignment="1" applyProtection="1">
      <alignment horizontal="center" vertical="center"/>
      <protection locked="0"/>
    </xf>
    <xf numFmtId="0" fontId="20" fillId="0" borderId="18" xfId="42" applyFont="1" applyBorder="1" applyAlignment="1" applyProtection="1">
      <alignment horizontal="center" vertical="center"/>
      <protection locked="0"/>
    </xf>
  </cellXfs>
  <cellStyles count="48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[0]" xfId="46" builtinId="6"/>
    <cellStyle name="Millares 2" xfId="45" xr:uid="{00000000-0005-0000-0000-000021000000}"/>
    <cellStyle name="Moneda [0]" xfId="47" builtinId="7"/>
    <cellStyle name="Moneda 2" xfId="44" xr:uid="{00000000-0005-0000-0000-000023000000}"/>
    <cellStyle name="Neutral" xfId="8" builtinId="28" customBuiltin="1"/>
    <cellStyle name="Normal" xfId="0" builtinId="0"/>
    <cellStyle name="Normal 2" xfId="42" xr:uid="{00000000-0005-0000-0000-000026000000}"/>
    <cellStyle name="Notas" xfId="15" builtinId="10" customBuiltin="1"/>
    <cellStyle name="Porcentaje 2" xfId="43" xr:uid="{00000000-0005-0000-0000-000029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0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oncmandrade\Escritorio\Asociados_2009\Asociados_2007\AsociadosFECV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os\DIFEBETA\A&#241;o%202009\Asesor&#237;as\Fedian\FEDIAN%20-%20Reglamento%20de%20Cr&#233;dit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Hoja2"/>
    </sheetNames>
    <definedNames>
      <definedName name="Number_of_Payments" refersTo="#¡REF!" sheetId="0"/>
      <definedName name="Values_Entered" refersTo="#¡REF!" sheetId="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87"/>
  <sheetViews>
    <sheetView showGridLines="0" tabSelected="1" topLeftCell="A39" zoomScale="170" zoomScaleNormal="170" zoomScaleSheetLayoutView="232" workbookViewId="0">
      <selection activeCell="B54" sqref="B54:C54"/>
    </sheetView>
  </sheetViews>
  <sheetFormatPr baseColWidth="10" defaultColWidth="11.44140625" defaultRowHeight="13.8" x14ac:dyDescent="0.3"/>
  <cols>
    <col min="1" max="1" width="7.109375" style="50" customWidth="1"/>
    <col min="2" max="2" width="2.88671875" style="1" bestFit="1" customWidth="1"/>
    <col min="3" max="3" width="15" style="1" bestFit="1" customWidth="1"/>
    <col min="4" max="4" width="9.6640625" style="1" bestFit="1" customWidth="1"/>
    <col min="5" max="5" width="12.33203125" style="1" bestFit="1" customWidth="1"/>
    <col min="6" max="6" width="12.109375" style="6" bestFit="1" customWidth="1"/>
    <col min="7" max="7" width="14" style="6" customWidth="1"/>
    <col min="8" max="8" width="12.109375" style="6" bestFit="1" customWidth="1"/>
    <col min="9" max="9" width="8" style="1" bestFit="1" customWidth="1"/>
    <col min="10" max="10" width="8.77734375" style="1" bestFit="1" customWidth="1"/>
    <col min="11" max="11" width="4.44140625" style="1" customWidth="1"/>
    <col min="12" max="12" width="6.77734375" style="1" bestFit="1" customWidth="1"/>
    <col min="13" max="13" width="12.77734375" style="1" customWidth="1"/>
    <col min="14" max="16384" width="11.44140625" style="1"/>
  </cols>
  <sheetData>
    <row r="1" spans="1:14" s="33" customFormat="1" x14ac:dyDescent="0.3">
      <c r="A1" s="41" t="s">
        <v>156</v>
      </c>
      <c r="B1" s="60"/>
      <c r="C1" s="94">
        <v>1118345679</v>
      </c>
      <c r="D1" s="61" t="s">
        <v>155</v>
      </c>
      <c r="E1" s="120" t="s">
        <v>216</v>
      </c>
      <c r="F1" s="120"/>
      <c r="G1" s="120"/>
      <c r="H1" s="62" t="s">
        <v>154</v>
      </c>
      <c r="I1" s="117" t="s">
        <v>57</v>
      </c>
      <c r="J1" s="117"/>
      <c r="K1" s="61" t="s">
        <v>153</v>
      </c>
      <c r="L1" s="97">
        <v>7</v>
      </c>
      <c r="M1" s="112" t="str">
        <f>VLOOKUP(L1,$A$53:$B$59,2,FALSE)</f>
        <v>Independiente</v>
      </c>
    </row>
    <row r="2" spans="1:14" s="6" customFormat="1" x14ac:dyDescent="0.3">
      <c r="A2" s="42" t="s">
        <v>152</v>
      </c>
      <c r="B2" s="63"/>
      <c r="C2" s="107" t="s">
        <v>151</v>
      </c>
      <c r="D2" s="107" t="s">
        <v>130</v>
      </c>
      <c r="E2" s="107" t="s">
        <v>1</v>
      </c>
      <c r="F2" s="107" t="s">
        <v>150</v>
      </c>
      <c r="G2" s="107" t="s">
        <v>149</v>
      </c>
      <c r="H2" s="107" t="s">
        <v>1</v>
      </c>
      <c r="I2" s="148" t="s">
        <v>148</v>
      </c>
      <c r="J2" s="148"/>
      <c r="K2" s="124" t="s">
        <v>147</v>
      </c>
      <c r="L2" s="124"/>
      <c r="M2" s="26">
        <v>10</v>
      </c>
    </row>
    <row r="3" spans="1:14" x14ac:dyDescent="0.3">
      <c r="A3" s="43" t="s">
        <v>180</v>
      </c>
      <c r="B3" s="64"/>
      <c r="C3" s="30">
        <v>0</v>
      </c>
      <c r="D3" s="65" t="s">
        <v>146</v>
      </c>
      <c r="E3" s="96">
        <v>25000000</v>
      </c>
      <c r="F3" s="96">
        <v>600000</v>
      </c>
      <c r="G3" s="111" t="s">
        <v>212</v>
      </c>
      <c r="H3" s="30">
        <v>35000000</v>
      </c>
      <c r="I3" s="119">
        <v>2500000</v>
      </c>
      <c r="J3" s="119"/>
      <c r="K3" s="124" t="s">
        <v>145</v>
      </c>
      <c r="L3" s="124"/>
      <c r="M3" s="25">
        <v>0</v>
      </c>
      <c r="N3" s="34"/>
    </row>
    <row r="4" spans="1:14" x14ac:dyDescent="0.3">
      <c r="A4" s="43" t="s">
        <v>163</v>
      </c>
      <c r="B4" s="64"/>
      <c r="C4" s="30">
        <v>0</v>
      </c>
      <c r="D4" s="67" t="s">
        <v>144</v>
      </c>
      <c r="E4" s="31">
        <v>60000000</v>
      </c>
      <c r="F4" s="31">
        <f>-PMT(C13,C14,E4,0)</f>
        <v>1173011.5501619426</v>
      </c>
      <c r="G4" s="66" t="s">
        <v>176</v>
      </c>
      <c r="H4" s="30">
        <v>10000000</v>
      </c>
      <c r="I4" s="119">
        <f>-+PMT(1%,36,H4,0)</f>
        <v>332143.09812851192</v>
      </c>
      <c r="J4" s="119"/>
      <c r="K4" s="98" t="s">
        <v>16</v>
      </c>
      <c r="L4" s="32" t="s">
        <v>143</v>
      </c>
      <c r="M4" s="25" t="s">
        <v>99</v>
      </c>
      <c r="N4" s="38"/>
    </row>
    <row r="5" spans="1:14" x14ac:dyDescent="0.3">
      <c r="A5" s="43" t="s">
        <v>179</v>
      </c>
      <c r="B5" s="64"/>
      <c r="C5" s="30">
        <v>0</v>
      </c>
      <c r="D5" s="65" t="s">
        <v>142</v>
      </c>
      <c r="E5" s="96">
        <v>25000000</v>
      </c>
      <c r="F5" s="96">
        <v>600000</v>
      </c>
      <c r="G5" s="65" t="s">
        <v>141</v>
      </c>
      <c r="H5" s="30">
        <f>+E6</f>
        <v>35000000</v>
      </c>
      <c r="I5" s="119">
        <f>+F6</f>
        <v>573011.55016194261</v>
      </c>
      <c r="J5" s="119"/>
      <c r="K5" s="124" t="s">
        <v>6</v>
      </c>
      <c r="L5" s="124"/>
      <c r="M5" s="25">
        <v>30</v>
      </c>
    </row>
    <row r="6" spans="1:14" x14ac:dyDescent="0.3">
      <c r="A6" s="43" t="s">
        <v>140</v>
      </c>
      <c r="B6" s="64"/>
      <c r="C6" s="30">
        <v>10000000</v>
      </c>
      <c r="D6" s="67" t="s">
        <v>139</v>
      </c>
      <c r="E6" s="31">
        <f>+E4-E5</f>
        <v>35000000</v>
      </c>
      <c r="F6" s="31">
        <f>+F4-F5</f>
        <v>573011.55016194261</v>
      </c>
      <c r="G6" s="65" t="s">
        <v>138</v>
      </c>
      <c r="H6" s="30">
        <v>0</v>
      </c>
      <c r="I6" s="119">
        <v>0</v>
      </c>
      <c r="J6" s="119"/>
      <c r="K6" s="98" t="s">
        <v>137</v>
      </c>
      <c r="L6" s="27">
        <v>4</v>
      </c>
      <c r="M6" s="35" t="str">
        <f>VLOOKUP(L6,$D$53:$E$57,2,FALSE)</f>
        <v>Soltero</v>
      </c>
    </row>
    <row r="7" spans="1:14" x14ac:dyDescent="0.3">
      <c r="A7" s="43" t="s">
        <v>136</v>
      </c>
      <c r="B7" s="64"/>
      <c r="C7" s="30">
        <v>500000</v>
      </c>
      <c r="D7" s="65" t="s">
        <v>135</v>
      </c>
      <c r="E7" s="96">
        <f>+E6+E3</f>
        <v>60000000</v>
      </c>
      <c r="F7" s="96">
        <f>+F6+F3</f>
        <v>1173011.5501619426</v>
      </c>
      <c r="G7" s="65" t="s">
        <v>135</v>
      </c>
      <c r="H7" s="30">
        <f>+H3+H4+H5-H6</f>
        <v>80000000</v>
      </c>
      <c r="I7" s="119">
        <f>+I3+I4+I5-I6</f>
        <v>3405154.6482904544</v>
      </c>
      <c r="J7" s="119"/>
      <c r="K7" s="98" t="s">
        <v>134</v>
      </c>
      <c r="L7" s="27">
        <v>4</v>
      </c>
      <c r="M7" s="26" t="str">
        <f>VLOOKUP(L7,$F$53:$G$59,2,FALSE)</f>
        <v>Universitario</v>
      </c>
    </row>
    <row r="8" spans="1:14" x14ac:dyDescent="0.3">
      <c r="A8" s="43" t="s">
        <v>133</v>
      </c>
      <c r="B8" s="64"/>
      <c r="C8" s="30">
        <v>0</v>
      </c>
      <c r="D8" s="65" t="s">
        <v>175</v>
      </c>
      <c r="E8" s="96">
        <v>12500000</v>
      </c>
      <c r="F8" s="96">
        <v>200000</v>
      </c>
      <c r="G8" s="65" t="s">
        <v>132</v>
      </c>
      <c r="H8" s="30">
        <v>0</v>
      </c>
      <c r="I8" s="119">
        <v>0</v>
      </c>
      <c r="J8" s="119"/>
      <c r="K8" s="98" t="s">
        <v>10</v>
      </c>
      <c r="L8" s="27">
        <v>1</v>
      </c>
      <c r="M8" s="26" t="str">
        <f>VLOOKUP(L8,$H$53:$I$59,2,FALSE)</f>
        <v>Propia</v>
      </c>
    </row>
    <row r="9" spans="1:14" x14ac:dyDescent="0.3">
      <c r="A9" s="43" t="s">
        <v>131</v>
      </c>
      <c r="B9" s="64"/>
      <c r="C9" s="30">
        <v>0</v>
      </c>
      <c r="D9" s="49" t="s">
        <v>177</v>
      </c>
      <c r="E9" s="39">
        <v>0</v>
      </c>
      <c r="F9" s="40">
        <v>0</v>
      </c>
      <c r="G9" s="65"/>
      <c r="H9" s="30"/>
      <c r="I9" s="96"/>
      <c r="J9" s="96"/>
      <c r="K9" s="98"/>
      <c r="L9" s="27"/>
      <c r="M9" s="26"/>
    </row>
    <row r="10" spans="1:14" x14ac:dyDescent="0.3">
      <c r="A10" s="43" t="s">
        <v>178</v>
      </c>
      <c r="B10" s="64"/>
      <c r="C10" s="30">
        <v>0</v>
      </c>
      <c r="D10" s="68" t="s">
        <v>130</v>
      </c>
      <c r="E10" s="95">
        <f>+E7-E8</f>
        <v>47500000</v>
      </c>
      <c r="F10" s="95">
        <f>SUM(F7:F9)</f>
        <v>1373011.5501619426</v>
      </c>
      <c r="G10" s="68" t="s">
        <v>129</v>
      </c>
      <c r="H10" s="29">
        <f>+H7-H8</f>
        <v>80000000</v>
      </c>
      <c r="I10" s="118">
        <f>+I7+I8</f>
        <v>3405154.6482904544</v>
      </c>
      <c r="J10" s="118"/>
      <c r="K10" s="28" t="s">
        <v>172</v>
      </c>
      <c r="L10" s="27">
        <v>3</v>
      </c>
      <c r="M10" s="69" t="str">
        <f>VLOOKUP(L10,$J$53:$K$55,2,FALSE)</f>
        <v>Pagos por caja</v>
      </c>
    </row>
    <row r="11" spans="1:14" x14ac:dyDescent="0.3">
      <c r="A11" s="44" t="s">
        <v>4</v>
      </c>
      <c r="B11" s="70"/>
      <c r="C11" s="29">
        <f>SUM(C3:C9)</f>
        <v>10500000</v>
      </c>
      <c r="D11" s="124" t="s">
        <v>128</v>
      </c>
      <c r="E11" s="124"/>
      <c r="F11" s="96">
        <v>0</v>
      </c>
      <c r="G11" s="65" t="s">
        <v>127</v>
      </c>
      <c r="H11" s="24">
        <v>50000000</v>
      </c>
      <c r="I11" s="140">
        <v>1000000</v>
      </c>
      <c r="J11" s="140"/>
      <c r="K11" s="124" t="s">
        <v>126</v>
      </c>
      <c r="L11" s="124"/>
      <c r="M11" s="25">
        <v>9</v>
      </c>
    </row>
    <row r="12" spans="1:14" x14ac:dyDescent="0.3">
      <c r="A12" s="160" t="s">
        <v>181</v>
      </c>
      <c r="B12" s="161"/>
      <c r="C12" s="51">
        <f>IF(((+(C3+C5)*45%)-F10)&gt;50000,(+(C3+C5)*45%)-F10,0)</f>
        <v>0</v>
      </c>
      <c r="D12" s="124" t="s">
        <v>125</v>
      </c>
      <c r="E12" s="124"/>
      <c r="F12" s="104">
        <f>IF(F11*70%&gt;E10,0,E10-(F11*70%))</f>
        <v>47500000</v>
      </c>
      <c r="G12" s="65" t="s">
        <v>124</v>
      </c>
      <c r="H12" s="24">
        <v>0</v>
      </c>
      <c r="I12" s="23" t="s">
        <v>123</v>
      </c>
      <c r="J12" s="37">
        <v>790</v>
      </c>
      <c r="K12" s="146" t="s">
        <v>214</v>
      </c>
      <c r="L12" s="147"/>
      <c r="M12" s="22">
        <v>0</v>
      </c>
    </row>
    <row r="13" spans="1:14" x14ac:dyDescent="0.3">
      <c r="A13" s="71" t="s">
        <v>182</v>
      </c>
      <c r="B13" s="72" t="s">
        <v>184</v>
      </c>
      <c r="C13" s="54">
        <v>0.01</v>
      </c>
      <c r="D13" s="55" t="s">
        <v>186</v>
      </c>
      <c r="E13" s="56">
        <f>MROUND(PV(C13,C14,-C12,0),100000)</f>
        <v>0</v>
      </c>
      <c r="F13" s="104"/>
      <c r="G13" s="73" t="s">
        <v>197</v>
      </c>
      <c r="H13" s="58" t="s">
        <v>198</v>
      </c>
      <c r="I13" s="23"/>
      <c r="J13" s="37"/>
      <c r="K13" s="144" t="s">
        <v>203</v>
      </c>
      <c r="L13" s="145"/>
      <c r="M13" s="92">
        <v>30000000</v>
      </c>
    </row>
    <row r="14" spans="1:14" x14ac:dyDescent="0.3">
      <c r="A14" s="71" t="s">
        <v>183</v>
      </c>
      <c r="B14" s="72" t="s">
        <v>185</v>
      </c>
      <c r="C14" s="57">
        <v>72</v>
      </c>
      <c r="D14" s="98"/>
      <c r="E14" s="98"/>
      <c r="F14" s="104"/>
      <c r="G14" s="65"/>
      <c r="H14" s="24"/>
      <c r="I14" s="23"/>
      <c r="J14" s="37"/>
      <c r="K14" s="105"/>
      <c r="L14" s="106"/>
      <c r="M14" s="22"/>
    </row>
    <row r="15" spans="1:14" ht="16.2" thickBot="1" x14ac:dyDescent="0.35">
      <c r="A15" s="121" t="s">
        <v>122</v>
      </c>
      <c r="B15" s="122"/>
      <c r="C15" s="122"/>
      <c r="D15" s="122"/>
      <c r="E15" s="122"/>
      <c r="F15" s="123"/>
      <c r="G15" s="52" t="str">
        <f>IF(H15&lt;3,"ALTO",IF(AND(H15&gt;=3,H15&lt;4),"NORMAL","BAJO"))</f>
        <v>BAJO</v>
      </c>
      <c r="H15" s="53">
        <f>SUM(M17:M38)</f>
        <v>4.0999999999999996</v>
      </c>
      <c r="I15" s="23" t="s">
        <v>121</v>
      </c>
      <c r="J15" s="36" t="s">
        <v>2</v>
      </c>
      <c r="K15" s="144" t="s">
        <v>192</v>
      </c>
      <c r="L15" s="145"/>
      <c r="M15" s="22">
        <v>0</v>
      </c>
    </row>
    <row r="16" spans="1:14" x14ac:dyDescent="0.3">
      <c r="A16" s="45" t="s">
        <v>215</v>
      </c>
      <c r="B16" s="74" t="s">
        <v>22</v>
      </c>
      <c r="C16" s="21" t="s">
        <v>21</v>
      </c>
      <c r="D16" s="126" t="s">
        <v>120</v>
      </c>
      <c r="E16" s="127"/>
      <c r="F16" s="75" t="s">
        <v>119</v>
      </c>
      <c r="G16" s="76" t="s">
        <v>118</v>
      </c>
      <c r="H16" s="76" t="s">
        <v>117</v>
      </c>
      <c r="I16" s="21" t="s">
        <v>116</v>
      </c>
      <c r="J16" s="21" t="s">
        <v>115</v>
      </c>
      <c r="K16" s="20"/>
      <c r="L16" s="20" t="s">
        <v>114</v>
      </c>
      <c r="M16" s="20" t="s">
        <v>113</v>
      </c>
    </row>
    <row r="17" spans="1:13" x14ac:dyDescent="0.3">
      <c r="A17" s="133" t="s">
        <v>112</v>
      </c>
      <c r="B17" s="77">
        <v>2</v>
      </c>
      <c r="C17" s="78" t="s">
        <v>111</v>
      </c>
      <c r="D17" s="115" t="s">
        <v>110</v>
      </c>
      <c r="E17" s="116"/>
      <c r="F17" s="79" t="s">
        <v>109</v>
      </c>
      <c r="G17" s="66" t="s">
        <v>108</v>
      </c>
      <c r="H17" s="80" t="s">
        <v>107</v>
      </c>
      <c r="I17" s="12">
        <f t="shared" ref="I17:I38" si="0">HLOOKUP($L$1,$D$62:$J$84,B17,FALSE)</f>
        <v>0</v>
      </c>
      <c r="J17" s="19">
        <f>IF((C3+C5)&gt;0,+F10/(C3+C5),0)</f>
        <v>0</v>
      </c>
      <c r="K17" s="16"/>
      <c r="L17" s="16">
        <f>IF(J17&lt;20%,5,IF(AND(J17&gt;19.99%,J17&lt;40%),3,1))</f>
        <v>5</v>
      </c>
      <c r="M17" s="16">
        <f t="shared" ref="M17:M38" si="1">+L17*I17</f>
        <v>0</v>
      </c>
    </row>
    <row r="18" spans="1:13" x14ac:dyDescent="0.3">
      <c r="A18" s="133"/>
      <c r="B18" s="77">
        <f>+B17+1</f>
        <v>3</v>
      </c>
      <c r="C18" s="78" t="s">
        <v>19</v>
      </c>
      <c r="D18" s="115" t="s">
        <v>106</v>
      </c>
      <c r="E18" s="116"/>
      <c r="F18" s="79" t="s">
        <v>105</v>
      </c>
      <c r="G18" s="66" t="s">
        <v>104</v>
      </c>
      <c r="H18" s="80" t="s">
        <v>103</v>
      </c>
      <c r="I18" s="12">
        <f t="shared" si="0"/>
        <v>0.15</v>
      </c>
      <c r="J18" s="114">
        <f>+(I10+I11)/C11</f>
        <v>0.41953853793242424</v>
      </c>
      <c r="K18" s="16"/>
      <c r="L18" s="16">
        <f>IF(J18&lt;30%,5,IF(AND(J18&gt;29.99%,J18&lt;50%),3,1))</f>
        <v>3</v>
      </c>
      <c r="M18" s="16">
        <f t="shared" si="1"/>
        <v>0.44999999999999996</v>
      </c>
    </row>
    <row r="19" spans="1:13" x14ac:dyDescent="0.3">
      <c r="A19" s="133"/>
      <c r="B19" s="77">
        <f t="shared" ref="B19:B38" si="2">+B18+1</f>
        <v>4</v>
      </c>
      <c r="C19" s="78" t="s">
        <v>18</v>
      </c>
      <c r="D19" s="115" t="s">
        <v>102</v>
      </c>
      <c r="E19" s="116"/>
      <c r="F19" s="79" t="s">
        <v>166</v>
      </c>
      <c r="G19" s="66" t="s">
        <v>38</v>
      </c>
      <c r="H19" s="80" t="s">
        <v>165</v>
      </c>
      <c r="I19" s="12">
        <f t="shared" si="0"/>
        <v>0.01</v>
      </c>
      <c r="J19" s="17">
        <f>+L6</f>
        <v>4</v>
      </c>
      <c r="K19" s="16"/>
      <c r="L19" s="16">
        <f>IF(J19=1,5,IF(AND(J19&gt;2,J19&lt;5),3,1))</f>
        <v>3</v>
      </c>
      <c r="M19" s="16">
        <f t="shared" si="1"/>
        <v>0.03</v>
      </c>
    </row>
    <row r="20" spans="1:13" x14ac:dyDescent="0.3">
      <c r="A20" s="133"/>
      <c r="B20" s="77">
        <f t="shared" si="2"/>
        <v>5</v>
      </c>
      <c r="C20" s="78" t="s">
        <v>17</v>
      </c>
      <c r="D20" s="115" t="s">
        <v>95</v>
      </c>
      <c r="E20" s="116"/>
      <c r="F20" s="79">
        <v>0</v>
      </c>
      <c r="G20" s="66">
        <v>1</v>
      </c>
      <c r="H20" s="80" t="s">
        <v>101</v>
      </c>
      <c r="I20" s="12">
        <f t="shared" si="0"/>
        <v>0.01</v>
      </c>
      <c r="J20" s="17">
        <f>+M3</f>
        <v>0</v>
      </c>
      <c r="K20" s="16"/>
      <c r="L20" s="16">
        <f>IF(J20=0,5,IF(AND(J20&gt;0,J20&lt;2),3,1))</f>
        <v>5</v>
      </c>
      <c r="M20" s="16">
        <f t="shared" si="1"/>
        <v>0.05</v>
      </c>
    </row>
    <row r="21" spans="1:13" x14ac:dyDescent="0.3">
      <c r="A21" s="133"/>
      <c r="B21" s="77">
        <f t="shared" si="2"/>
        <v>6</v>
      </c>
      <c r="C21" s="78" t="s">
        <v>16</v>
      </c>
      <c r="D21" s="115" t="s">
        <v>95</v>
      </c>
      <c r="E21" s="116"/>
      <c r="F21" s="79" t="s">
        <v>100</v>
      </c>
      <c r="G21" s="66" t="s">
        <v>99</v>
      </c>
      <c r="H21" s="80" t="s">
        <v>95</v>
      </c>
      <c r="I21" s="12">
        <f t="shared" si="0"/>
        <v>0.01</v>
      </c>
      <c r="J21" s="18" t="str">
        <f>+M4</f>
        <v>M</v>
      </c>
      <c r="K21" s="16"/>
      <c r="L21" s="16">
        <f>IF(J21="M",3,5)</f>
        <v>3</v>
      </c>
      <c r="M21" s="16">
        <f t="shared" si="1"/>
        <v>0.03</v>
      </c>
    </row>
    <row r="22" spans="1:13" x14ac:dyDescent="0.3">
      <c r="A22" s="133"/>
      <c r="B22" s="77">
        <f t="shared" si="2"/>
        <v>7</v>
      </c>
      <c r="C22" s="78" t="s">
        <v>15</v>
      </c>
      <c r="D22" s="115" t="s">
        <v>95</v>
      </c>
      <c r="E22" s="116"/>
      <c r="F22" s="79" t="s">
        <v>98</v>
      </c>
      <c r="G22" s="66" t="s">
        <v>97</v>
      </c>
      <c r="H22" s="80" t="s">
        <v>96</v>
      </c>
      <c r="I22" s="12">
        <f t="shared" si="0"/>
        <v>0.01</v>
      </c>
      <c r="J22" s="17">
        <f>+L7</f>
        <v>4</v>
      </c>
      <c r="K22" s="16"/>
      <c r="L22" s="16">
        <f>IF(J22&lt;3,1,IF(J22&gt;3,3,5))</f>
        <v>3</v>
      </c>
      <c r="M22" s="16">
        <f t="shared" si="1"/>
        <v>0.03</v>
      </c>
    </row>
    <row r="23" spans="1:13" x14ac:dyDescent="0.3">
      <c r="A23" s="133"/>
      <c r="B23" s="77">
        <f t="shared" si="2"/>
        <v>8</v>
      </c>
      <c r="C23" s="78" t="s">
        <v>161</v>
      </c>
      <c r="D23" s="115" t="s">
        <v>95</v>
      </c>
      <c r="E23" s="116"/>
      <c r="F23" s="79" t="str">
        <f>+K53</f>
        <v>Sector publico</v>
      </c>
      <c r="G23" s="66" t="str">
        <f>+K54</f>
        <v>Otras sector privado</v>
      </c>
      <c r="H23" s="80" t="str">
        <f>+K55</f>
        <v>Pagos por caja</v>
      </c>
      <c r="I23" s="12">
        <f t="shared" si="0"/>
        <v>0.05</v>
      </c>
      <c r="J23" s="14">
        <f>+L10</f>
        <v>3</v>
      </c>
      <c r="K23" s="16"/>
      <c r="L23" s="16">
        <f>IF(J23=1,5,IF(J23&gt;2,1,3))</f>
        <v>1</v>
      </c>
      <c r="M23" s="16">
        <f t="shared" si="1"/>
        <v>0.05</v>
      </c>
    </row>
    <row r="24" spans="1:13" x14ac:dyDescent="0.3">
      <c r="A24" s="133"/>
      <c r="B24" s="77">
        <f t="shared" si="2"/>
        <v>9</v>
      </c>
      <c r="C24" s="78" t="s">
        <v>14</v>
      </c>
      <c r="D24" s="115" t="s">
        <v>94</v>
      </c>
      <c r="E24" s="116"/>
      <c r="F24" s="79" t="s">
        <v>93</v>
      </c>
      <c r="G24" s="66" t="s">
        <v>92</v>
      </c>
      <c r="H24" s="80" t="s">
        <v>23</v>
      </c>
      <c r="I24" s="12">
        <f t="shared" si="0"/>
        <v>0.01</v>
      </c>
      <c r="J24" s="17">
        <f>+L1</f>
        <v>7</v>
      </c>
      <c r="K24" s="16"/>
      <c r="L24" s="16">
        <f>IF(J24&lt;4,5,IF(J24&gt;6,1,3))</f>
        <v>1</v>
      </c>
      <c r="M24" s="16">
        <f t="shared" si="1"/>
        <v>0.01</v>
      </c>
    </row>
    <row r="25" spans="1:13" x14ac:dyDescent="0.3">
      <c r="A25" s="133"/>
      <c r="B25" s="77">
        <f t="shared" si="2"/>
        <v>10</v>
      </c>
      <c r="C25" s="78" t="s">
        <v>91</v>
      </c>
      <c r="D25" s="115" t="s">
        <v>90</v>
      </c>
      <c r="E25" s="116"/>
      <c r="F25" s="79" t="s">
        <v>79</v>
      </c>
      <c r="G25" s="66" t="s">
        <v>78</v>
      </c>
      <c r="H25" s="80" t="s">
        <v>77</v>
      </c>
      <c r="I25" s="12">
        <f t="shared" si="0"/>
        <v>0.05</v>
      </c>
      <c r="J25" s="14">
        <f>+M2</f>
        <v>10</v>
      </c>
      <c r="K25" s="16"/>
      <c r="L25" s="16">
        <f>IF(J25&gt;5,5,IF(AND(J25&gt;2,J25&lt;5),3,1))</f>
        <v>5</v>
      </c>
      <c r="M25" s="16">
        <f t="shared" si="1"/>
        <v>0.25</v>
      </c>
    </row>
    <row r="26" spans="1:13" x14ac:dyDescent="0.3">
      <c r="A26" s="128" t="s">
        <v>89</v>
      </c>
      <c r="B26" s="77">
        <f t="shared" si="2"/>
        <v>11</v>
      </c>
      <c r="C26" s="110" t="s">
        <v>12</v>
      </c>
      <c r="D26" s="129" t="s">
        <v>187</v>
      </c>
      <c r="E26" s="130"/>
      <c r="F26" s="79" t="s">
        <v>64</v>
      </c>
      <c r="G26" s="81" t="s">
        <v>63</v>
      </c>
      <c r="H26" s="80" t="s">
        <v>62</v>
      </c>
      <c r="I26" s="12">
        <f t="shared" si="0"/>
        <v>0.01</v>
      </c>
      <c r="J26" s="11">
        <f>+E7/E8</f>
        <v>4.8</v>
      </c>
      <c r="K26" s="10"/>
      <c r="L26" s="10">
        <f>IF(J26&lt;3,5,IF(AND(J26&gt;3,J26&lt;5),3,1))</f>
        <v>3</v>
      </c>
      <c r="M26" s="10">
        <f t="shared" si="1"/>
        <v>0.03</v>
      </c>
    </row>
    <row r="27" spans="1:13" x14ac:dyDescent="0.3">
      <c r="A27" s="128"/>
      <c r="B27" s="77">
        <f t="shared" si="2"/>
        <v>12</v>
      </c>
      <c r="C27" s="110" t="s">
        <v>11</v>
      </c>
      <c r="D27" s="129" t="s">
        <v>88</v>
      </c>
      <c r="E27" s="130"/>
      <c r="F27" s="79" t="s">
        <v>87</v>
      </c>
      <c r="G27" s="81" t="s">
        <v>86</v>
      </c>
      <c r="H27" s="80" t="s">
        <v>85</v>
      </c>
      <c r="I27" s="12">
        <f t="shared" si="0"/>
        <v>0.05</v>
      </c>
      <c r="J27" s="11">
        <f>(+H10+H11)/C11</f>
        <v>12.380952380952381</v>
      </c>
      <c r="K27" s="10"/>
      <c r="L27" s="10">
        <f>IF(J27&lt;10,5,IF(AND(J27&gt;10,J27&lt;20),3,1))</f>
        <v>3</v>
      </c>
      <c r="M27" s="10">
        <f t="shared" si="1"/>
        <v>0.15000000000000002</v>
      </c>
    </row>
    <row r="28" spans="1:13" x14ac:dyDescent="0.3">
      <c r="A28" s="128"/>
      <c r="B28" s="77">
        <f t="shared" si="2"/>
        <v>13</v>
      </c>
      <c r="C28" s="110" t="s">
        <v>10</v>
      </c>
      <c r="D28" s="129" t="s">
        <v>84</v>
      </c>
      <c r="E28" s="130"/>
      <c r="F28" s="79" t="s">
        <v>39</v>
      </c>
      <c r="G28" s="81" t="s">
        <v>36</v>
      </c>
      <c r="H28" s="80" t="s">
        <v>33</v>
      </c>
      <c r="I28" s="12">
        <f t="shared" si="0"/>
        <v>0.01</v>
      </c>
      <c r="J28" s="14">
        <f>+L8</f>
        <v>1</v>
      </c>
      <c r="K28" s="10"/>
      <c r="L28" s="10">
        <f>IF(J28=1,5,IF(J28&gt;2,1,3))</f>
        <v>5</v>
      </c>
      <c r="M28" s="10">
        <f t="shared" si="1"/>
        <v>0.05</v>
      </c>
    </row>
    <row r="29" spans="1:13" x14ac:dyDescent="0.3">
      <c r="A29" s="125" t="s">
        <v>83</v>
      </c>
      <c r="B29" s="77">
        <f t="shared" si="2"/>
        <v>14</v>
      </c>
      <c r="C29" s="82" t="s">
        <v>189</v>
      </c>
      <c r="D29" s="131" t="s">
        <v>188</v>
      </c>
      <c r="E29" s="132"/>
      <c r="F29" s="79">
        <v>0</v>
      </c>
      <c r="G29" s="81" t="s">
        <v>82</v>
      </c>
      <c r="H29" s="80" t="s">
        <v>81</v>
      </c>
      <c r="I29" s="12">
        <f t="shared" si="0"/>
        <v>0.1</v>
      </c>
      <c r="J29" s="14">
        <f>+M12</f>
        <v>0</v>
      </c>
      <c r="K29" s="13"/>
      <c r="L29" s="13">
        <f>IF(J29=0,5,IF(J29&gt;2,1,3))</f>
        <v>5</v>
      </c>
      <c r="M29" s="13">
        <f t="shared" si="1"/>
        <v>0.5</v>
      </c>
    </row>
    <row r="30" spans="1:13" x14ac:dyDescent="0.3">
      <c r="A30" s="125"/>
      <c r="B30" s="77">
        <f t="shared" si="2"/>
        <v>15</v>
      </c>
      <c r="C30" s="82" t="s">
        <v>190</v>
      </c>
      <c r="D30" s="131" t="s">
        <v>191</v>
      </c>
      <c r="E30" s="132"/>
      <c r="F30" s="79">
        <v>0</v>
      </c>
      <c r="G30" s="81" t="s">
        <v>82</v>
      </c>
      <c r="H30" s="80" t="s">
        <v>81</v>
      </c>
      <c r="I30" s="12">
        <f t="shared" si="0"/>
        <v>0.05</v>
      </c>
      <c r="J30" s="14">
        <f>+M15</f>
        <v>0</v>
      </c>
      <c r="K30" s="13"/>
      <c r="L30" s="13">
        <f>IF(J30=0,5,IF(J30&gt;2,1,3))</f>
        <v>5</v>
      </c>
      <c r="M30" s="13">
        <f t="shared" si="1"/>
        <v>0.25</v>
      </c>
    </row>
    <row r="31" spans="1:13" x14ac:dyDescent="0.3">
      <c r="A31" s="125"/>
      <c r="B31" s="77">
        <f t="shared" si="2"/>
        <v>16</v>
      </c>
      <c r="C31" s="82" t="s">
        <v>9</v>
      </c>
      <c r="D31" s="131" t="s">
        <v>80</v>
      </c>
      <c r="E31" s="132"/>
      <c r="F31" s="79" t="s">
        <v>79</v>
      </c>
      <c r="G31" s="66" t="s">
        <v>78</v>
      </c>
      <c r="H31" s="80" t="s">
        <v>77</v>
      </c>
      <c r="I31" s="12">
        <f t="shared" si="0"/>
        <v>0.1</v>
      </c>
      <c r="J31" s="14">
        <f>+M11</f>
        <v>9</v>
      </c>
      <c r="K31" s="13"/>
      <c r="L31" s="13">
        <f>IF(J31&gt;5,5,IF(AND(J31&gt;2,J31&lt;5),3,1))</f>
        <v>5</v>
      </c>
      <c r="M31" s="13">
        <f t="shared" si="1"/>
        <v>0.5</v>
      </c>
    </row>
    <row r="32" spans="1:13" x14ac:dyDescent="0.3">
      <c r="A32" s="125"/>
      <c r="B32" s="77">
        <f t="shared" si="2"/>
        <v>17</v>
      </c>
      <c r="C32" s="82" t="s">
        <v>194</v>
      </c>
      <c r="D32" s="131" t="s">
        <v>76</v>
      </c>
      <c r="E32" s="132"/>
      <c r="F32" s="79" t="s">
        <v>2</v>
      </c>
      <c r="G32" s="66" t="s">
        <v>3</v>
      </c>
      <c r="H32" s="80" t="s">
        <v>75</v>
      </c>
      <c r="I32" s="12">
        <f t="shared" si="0"/>
        <v>0.05</v>
      </c>
      <c r="J32" s="15" t="str">
        <f>+J15</f>
        <v>A</v>
      </c>
      <c r="K32" s="13"/>
      <c r="L32" s="13">
        <f>IF(J32="A",5,IF(J32="B",3,1))</f>
        <v>5</v>
      </c>
      <c r="M32" s="13">
        <f t="shared" si="1"/>
        <v>0.25</v>
      </c>
    </row>
    <row r="33" spans="1:13" x14ac:dyDescent="0.3">
      <c r="A33" s="125"/>
      <c r="B33" s="77">
        <f t="shared" si="2"/>
        <v>18</v>
      </c>
      <c r="C33" s="82" t="s">
        <v>204</v>
      </c>
      <c r="D33" s="131" t="s">
        <v>205</v>
      </c>
      <c r="E33" s="132"/>
      <c r="F33" s="79" t="s">
        <v>208</v>
      </c>
      <c r="G33" s="66" t="s">
        <v>206</v>
      </c>
      <c r="H33" s="80" t="s">
        <v>207</v>
      </c>
      <c r="I33" s="12">
        <f t="shared" si="0"/>
        <v>0.11</v>
      </c>
      <c r="J33" s="14">
        <f>+M13/1000000</f>
        <v>30</v>
      </c>
      <c r="K33" s="13"/>
      <c r="L33" s="13">
        <f>IF(J33&gt;20,5,IF(AND(J33&gt;5,J33&lt;20),3,1))</f>
        <v>5</v>
      </c>
      <c r="M33" s="13">
        <f t="shared" si="1"/>
        <v>0.55000000000000004</v>
      </c>
    </row>
    <row r="34" spans="1:13" x14ac:dyDescent="0.3">
      <c r="A34" s="125"/>
      <c r="B34" s="77">
        <f t="shared" si="2"/>
        <v>19</v>
      </c>
      <c r="C34" s="82" t="s">
        <v>195</v>
      </c>
      <c r="D34" s="131" t="s">
        <v>196</v>
      </c>
      <c r="E34" s="132"/>
      <c r="F34" s="79" t="s">
        <v>74</v>
      </c>
      <c r="G34" s="83" t="s">
        <v>73</v>
      </c>
      <c r="H34" s="80" t="s">
        <v>72</v>
      </c>
      <c r="I34" s="12">
        <f t="shared" si="0"/>
        <v>0.05</v>
      </c>
      <c r="J34" s="14">
        <f>+J12</f>
        <v>790</v>
      </c>
      <c r="K34" s="13"/>
      <c r="L34" s="13">
        <f>IF(J34&gt;600,5,IF(AND(J34&gt;500,J34&lt;600),3,1))</f>
        <v>5</v>
      </c>
      <c r="M34" s="13">
        <f t="shared" si="1"/>
        <v>0.25</v>
      </c>
    </row>
    <row r="35" spans="1:13" x14ac:dyDescent="0.3">
      <c r="A35" s="128" t="s">
        <v>48</v>
      </c>
      <c r="B35" s="77">
        <f t="shared" si="2"/>
        <v>20</v>
      </c>
      <c r="C35" s="110" t="s">
        <v>7</v>
      </c>
      <c r="D35" s="129" t="s">
        <v>71</v>
      </c>
      <c r="E35" s="130"/>
      <c r="F35" s="79" t="s">
        <v>64</v>
      </c>
      <c r="G35" s="81" t="s">
        <v>63</v>
      </c>
      <c r="H35" s="80" t="s">
        <v>62</v>
      </c>
      <c r="I35" s="12">
        <f t="shared" si="0"/>
        <v>0.01</v>
      </c>
      <c r="J35" s="11">
        <f>IF(H12&gt;0,+F12/H12,6)</f>
        <v>6</v>
      </c>
      <c r="K35" s="10"/>
      <c r="L35" s="10">
        <f>IF(J35&lt;3,5,IF(AND(J35&gt;2.9999,J35&lt;5),3,1))</f>
        <v>1</v>
      </c>
      <c r="M35" s="10">
        <f t="shared" si="1"/>
        <v>0.01</v>
      </c>
    </row>
    <row r="36" spans="1:13" x14ac:dyDescent="0.3">
      <c r="A36" s="128"/>
      <c r="B36" s="77">
        <f t="shared" si="2"/>
        <v>21</v>
      </c>
      <c r="C36" s="110" t="s">
        <v>197</v>
      </c>
      <c r="D36" s="129" t="s">
        <v>199</v>
      </c>
      <c r="E36" s="130"/>
      <c r="F36" s="79" t="s">
        <v>198</v>
      </c>
      <c r="G36" s="81" t="s">
        <v>200</v>
      </c>
      <c r="H36" s="80" t="s">
        <v>201</v>
      </c>
      <c r="I36" s="12">
        <f t="shared" si="0"/>
        <v>0.1</v>
      </c>
      <c r="J36" s="59" t="str">
        <f>+H13</f>
        <v>SI</v>
      </c>
      <c r="K36" s="10"/>
      <c r="L36" s="10">
        <f>IF(J36="SI",5,1)</f>
        <v>5</v>
      </c>
      <c r="M36" s="10">
        <f t="shared" si="1"/>
        <v>0.5</v>
      </c>
    </row>
    <row r="37" spans="1:13" x14ac:dyDescent="0.3">
      <c r="A37" s="128"/>
      <c r="B37" s="77">
        <f t="shared" si="2"/>
        <v>22</v>
      </c>
      <c r="C37" s="110" t="s">
        <v>70</v>
      </c>
      <c r="D37" s="129" t="s">
        <v>69</v>
      </c>
      <c r="E37" s="130"/>
      <c r="F37" s="79" t="s">
        <v>68</v>
      </c>
      <c r="G37" s="81" t="s">
        <v>67</v>
      </c>
      <c r="H37" s="80" t="s">
        <v>66</v>
      </c>
      <c r="I37" s="12">
        <f t="shared" si="0"/>
        <v>0.01</v>
      </c>
      <c r="J37" s="11">
        <f>+M5</f>
        <v>30</v>
      </c>
      <c r="K37" s="10"/>
      <c r="L37" s="10">
        <f>IF(J37&lt;30,3,IF(AND(J37&gt;30,J37&lt;55),5,1))</f>
        <v>1</v>
      </c>
      <c r="M37" s="10">
        <f t="shared" si="1"/>
        <v>0.01</v>
      </c>
    </row>
    <row r="38" spans="1:13" ht="14.4" thickBot="1" x14ac:dyDescent="0.35">
      <c r="A38" s="128"/>
      <c r="B38" s="77">
        <f t="shared" si="2"/>
        <v>23</v>
      </c>
      <c r="C38" s="84" t="s">
        <v>5</v>
      </c>
      <c r="D38" s="152" t="s">
        <v>65</v>
      </c>
      <c r="E38" s="153"/>
      <c r="F38" s="85" t="s">
        <v>64</v>
      </c>
      <c r="G38" s="86" t="s">
        <v>63</v>
      </c>
      <c r="H38" s="87" t="s">
        <v>62</v>
      </c>
      <c r="I38" s="12">
        <f t="shared" si="0"/>
        <v>0.05</v>
      </c>
      <c r="J38" s="9">
        <f>+F12/C11</f>
        <v>4.5238095238095237</v>
      </c>
      <c r="K38" s="8"/>
      <c r="L38" s="8">
        <f>IF(J38&lt;3,5,IF(AND(J38&gt;2.9999,J38&lt;5),3,1))</f>
        <v>3</v>
      </c>
      <c r="M38" s="8">
        <f t="shared" si="1"/>
        <v>0.15000000000000002</v>
      </c>
    </row>
    <row r="39" spans="1:13" x14ac:dyDescent="0.3">
      <c r="A39" s="162" t="s">
        <v>61</v>
      </c>
      <c r="B39" s="88">
        <v>21</v>
      </c>
      <c r="C39" s="164"/>
      <c r="D39" s="165"/>
      <c r="E39" s="165"/>
      <c r="F39" s="165"/>
      <c r="G39" s="165"/>
      <c r="H39" s="165"/>
      <c r="I39" s="165"/>
      <c r="J39" s="165"/>
      <c r="K39" s="165"/>
      <c r="L39" s="165"/>
      <c r="M39" s="166"/>
    </row>
    <row r="40" spans="1:13" ht="14.4" thickBot="1" x14ac:dyDescent="0.35">
      <c r="A40" s="163"/>
      <c r="B40" s="88"/>
      <c r="C40" s="167"/>
      <c r="D40" s="168"/>
      <c r="E40" s="168"/>
      <c r="F40" s="168"/>
      <c r="G40" s="168"/>
      <c r="H40" s="168"/>
      <c r="I40" s="168"/>
      <c r="J40" s="168"/>
      <c r="K40" s="168"/>
      <c r="L40" s="168"/>
      <c r="M40" s="169"/>
    </row>
    <row r="41" spans="1:13" ht="15.6" x14ac:dyDescent="0.3">
      <c r="A41" s="156" t="s">
        <v>60</v>
      </c>
      <c r="B41" s="157"/>
      <c r="C41" s="157"/>
      <c r="D41" s="157" t="s">
        <v>59</v>
      </c>
      <c r="E41" s="157"/>
      <c r="F41" s="157"/>
      <c r="G41" s="157"/>
      <c r="H41" s="157"/>
      <c r="I41" s="157"/>
      <c r="J41" s="157"/>
      <c r="K41" s="157"/>
      <c r="L41" s="157"/>
      <c r="M41" s="170"/>
    </row>
    <row r="42" spans="1:13" x14ac:dyDescent="0.3">
      <c r="A42" s="46" t="s">
        <v>58</v>
      </c>
      <c r="B42" s="155" t="s">
        <v>57</v>
      </c>
      <c r="C42" s="155"/>
      <c r="D42" s="135" t="s">
        <v>0</v>
      </c>
      <c r="E42" s="135"/>
      <c r="F42" s="135"/>
      <c r="G42" s="100" t="s">
        <v>56</v>
      </c>
      <c r="H42" s="100" t="s">
        <v>55</v>
      </c>
      <c r="I42" s="135" t="s">
        <v>54</v>
      </c>
      <c r="J42" s="135"/>
      <c r="K42" s="135"/>
      <c r="L42" s="135"/>
      <c r="M42" s="136"/>
    </row>
    <row r="43" spans="1:13" x14ac:dyDescent="0.3">
      <c r="A43" s="46" t="s">
        <v>53</v>
      </c>
      <c r="B43" s="158">
        <f>+E4</f>
        <v>60000000</v>
      </c>
      <c r="C43" s="158"/>
      <c r="D43" s="137" t="s">
        <v>157</v>
      </c>
      <c r="E43" s="138"/>
      <c r="F43" s="149"/>
      <c r="G43" s="108" t="s">
        <v>49</v>
      </c>
      <c r="H43" s="109"/>
      <c r="I43" s="137"/>
      <c r="J43" s="138"/>
      <c r="K43" s="138"/>
      <c r="L43" s="138"/>
      <c r="M43" s="139"/>
    </row>
    <row r="44" spans="1:13" x14ac:dyDescent="0.3">
      <c r="A44" s="46" t="s">
        <v>52</v>
      </c>
      <c r="B44" s="158">
        <v>25000000</v>
      </c>
      <c r="C44" s="158"/>
      <c r="D44" s="137" t="s">
        <v>158</v>
      </c>
      <c r="E44" s="138"/>
      <c r="F44" s="149"/>
      <c r="G44" s="108" t="s">
        <v>49</v>
      </c>
      <c r="H44" s="109"/>
      <c r="I44" s="101"/>
      <c r="J44" s="102"/>
      <c r="K44" s="102"/>
      <c r="L44" s="102"/>
      <c r="M44" s="103"/>
    </row>
    <row r="45" spans="1:13" x14ac:dyDescent="0.3">
      <c r="A45" s="46" t="s">
        <v>51</v>
      </c>
      <c r="B45" s="155">
        <v>60</v>
      </c>
      <c r="C45" s="155"/>
      <c r="D45" s="137" t="s">
        <v>159</v>
      </c>
      <c r="E45" s="138"/>
      <c r="F45" s="149"/>
      <c r="G45" s="108"/>
      <c r="H45" s="109" t="s">
        <v>160</v>
      </c>
      <c r="I45" s="137"/>
      <c r="J45" s="138"/>
      <c r="K45" s="138"/>
      <c r="L45" s="138"/>
      <c r="M45" s="139"/>
    </row>
    <row r="46" spans="1:13" x14ac:dyDescent="0.3">
      <c r="A46" s="46" t="s">
        <v>50</v>
      </c>
      <c r="B46" s="154">
        <v>0.01</v>
      </c>
      <c r="C46" s="154"/>
      <c r="D46" s="137"/>
      <c r="E46" s="138"/>
      <c r="F46" s="149"/>
      <c r="G46" s="108"/>
      <c r="H46" s="108"/>
      <c r="I46" s="137"/>
      <c r="J46" s="138"/>
      <c r="K46" s="138"/>
      <c r="L46" s="138"/>
      <c r="M46" s="139"/>
    </row>
    <row r="47" spans="1:13" x14ac:dyDescent="0.3">
      <c r="A47" s="46" t="s">
        <v>48</v>
      </c>
      <c r="B47" s="155" t="s">
        <v>213</v>
      </c>
      <c r="C47" s="155"/>
      <c r="D47" s="150"/>
      <c r="E47" s="150"/>
      <c r="F47" s="150"/>
      <c r="G47" s="108"/>
      <c r="H47" s="109"/>
      <c r="I47" s="137"/>
      <c r="J47" s="138"/>
      <c r="K47" s="138"/>
      <c r="L47" s="138"/>
      <c r="M47" s="139"/>
    </row>
    <row r="48" spans="1:13" ht="14.4" thickBot="1" x14ac:dyDescent="0.35">
      <c r="A48" s="47" t="s">
        <v>47</v>
      </c>
      <c r="B48" s="171">
        <v>345</v>
      </c>
      <c r="C48" s="172"/>
      <c r="D48" s="151"/>
      <c r="E48" s="151"/>
      <c r="F48" s="151"/>
      <c r="G48" s="89"/>
      <c r="H48" s="89"/>
      <c r="I48" s="141"/>
      <c r="J48" s="142"/>
      <c r="K48" s="142"/>
      <c r="L48" s="142"/>
      <c r="M48" s="143"/>
    </row>
    <row r="49" spans="1:12" x14ac:dyDescent="0.3">
      <c r="A49" s="48"/>
      <c r="B49" s="6"/>
      <c r="C49" s="6"/>
    </row>
    <row r="50" spans="1:12" x14ac:dyDescent="0.3">
      <c r="A50" s="48"/>
      <c r="B50" s="6"/>
      <c r="C50" s="6"/>
    </row>
    <row r="51" spans="1:12" x14ac:dyDescent="0.3">
      <c r="A51" s="134" t="s">
        <v>46</v>
      </c>
      <c r="B51" s="134"/>
      <c r="C51" s="134"/>
      <c r="D51" s="134" t="s">
        <v>45</v>
      </c>
      <c r="E51" s="134"/>
      <c r="F51" s="134" t="s">
        <v>44</v>
      </c>
      <c r="G51" s="134"/>
      <c r="H51" s="134" t="s">
        <v>43</v>
      </c>
      <c r="I51" s="134"/>
      <c r="J51" s="134" t="s">
        <v>162</v>
      </c>
      <c r="K51" s="134"/>
    </row>
    <row r="52" spans="1:12" x14ac:dyDescent="0.3">
      <c r="A52" s="49" t="s">
        <v>42</v>
      </c>
      <c r="B52" s="134" t="s">
        <v>0</v>
      </c>
      <c r="C52" s="134"/>
      <c r="D52" s="99" t="s">
        <v>42</v>
      </c>
      <c r="E52" s="99" t="s">
        <v>0</v>
      </c>
      <c r="F52" s="99" t="s">
        <v>42</v>
      </c>
      <c r="G52" s="99" t="s">
        <v>0</v>
      </c>
      <c r="H52" s="99" t="s">
        <v>42</v>
      </c>
      <c r="I52" s="99" t="s">
        <v>0</v>
      </c>
      <c r="J52" s="99" t="s">
        <v>42</v>
      </c>
      <c r="K52" s="99" t="s">
        <v>0</v>
      </c>
    </row>
    <row r="53" spans="1:12" x14ac:dyDescent="0.3">
      <c r="A53" s="7">
        <v>1</v>
      </c>
      <c r="B53" s="159" t="s">
        <v>29</v>
      </c>
      <c r="C53" s="159"/>
      <c r="D53" s="110">
        <v>1</v>
      </c>
      <c r="E53" s="7" t="s">
        <v>41</v>
      </c>
      <c r="F53" s="110">
        <v>1</v>
      </c>
      <c r="G53" s="7" t="s">
        <v>40</v>
      </c>
      <c r="H53" s="110">
        <v>1</v>
      </c>
      <c r="I53" s="7" t="s">
        <v>39</v>
      </c>
      <c r="J53" s="110">
        <v>1</v>
      </c>
      <c r="K53" s="110" t="s">
        <v>173</v>
      </c>
    </row>
    <row r="54" spans="1:12" x14ac:dyDescent="0.3">
      <c r="A54" s="7">
        <v>2</v>
      </c>
      <c r="B54" s="159" t="s">
        <v>167</v>
      </c>
      <c r="C54" s="159"/>
      <c r="D54" s="110">
        <v>2</v>
      </c>
      <c r="E54" s="7" t="s">
        <v>38</v>
      </c>
      <c r="F54" s="110">
        <v>2</v>
      </c>
      <c r="G54" s="7" t="s">
        <v>37</v>
      </c>
      <c r="H54" s="110">
        <v>2</v>
      </c>
      <c r="I54" s="7" t="s">
        <v>36</v>
      </c>
      <c r="J54" s="110">
        <v>2</v>
      </c>
      <c r="K54" s="110" t="s">
        <v>174</v>
      </c>
    </row>
    <row r="55" spans="1:12" x14ac:dyDescent="0.3">
      <c r="A55" s="7">
        <v>3</v>
      </c>
      <c r="B55" s="159" t="s">
        <v>168</v>
      </c>
      <c r="C55" s="159"/>
      <c r="D55" s="110">
        <v>3</v>
      </c>
      <c r="E55" s="7" t="s">
        <v>35</v>
      </c>
      <c r="F55" s="110">
        <v>3</v>
      </c>
      <c r="G55" s="7" t="s">
        <v>34</v>
      </c>
      <c r="H55" s="110">
        <v>3</v>
      </c>
      <c r="I55" s="7" t="s">
        <v>33</v>
      </c>
      <c r="J55" s="110">
        <v>3</v>
      </c>
      <c r="K55" s="110" t="s">
        <v>164</v>
      </c>
    </row>
    <row r="56" spans="1:12" x14ac:dyDescent="0.3">
      <c r="A56" s="7">
        <v>4</v>
      </c>
      <c r="B56" s="159" t="s">
        <v>170</v>
      </c>
      <c r="C56" s="159"/>
      <c r="D56" s="110">
        <v>4</v>
      </c>
      <c r="E56" s="7" t="s">
        <v>32</v>
      </c>
      <c r="F56" s="110">
        <v>4</v>
      </c>
      <c r="G56" s="7" t="s">
        <v>31</v>
      </c>
    </row>
    <row r="57" spans="1:12" x14ac:dyDescent="0.3">
      <c r="A57" s="7">
        <v>5</v>
      </c>
      <c r="B57" s="159" t="s">
        <v>171</v>
      </c>
      <c r="C57" s="159"/>
      <c r="D57" s="110"/>
      <c r="E57" s="7"/>
      <c r="F57" s="110">
        <v>5</v>
      </c>
      <c r="G57" s="7" t="s">
        <v>30</v>
      </c>
    </row>
    <row r="58" spans="1:12" x14ac:dyDescent="0.3">
      <c r="A58" s="7">
        <v>6</v>
      </c>
      <c r="B58" s="159" t="s">
        <v>169</v>
      </c>
      <c r="C58" s="159"/>
      <c r="D58" s="110"/>
      <c r="E58" s="7"/>
      <c r="F58" s="110"/>
      <c r="G58" s="7"/>
    </row>
    <row r="59" spans="1:12" x14ac:dyDescent="0.3">
      <c r="A59" s="7">
        <v>7</v>
      </c>
      <c r="B59" s="159" t="s">
        <v>23</v>
      </c>
      <c r="C59" s="159"/>
      <c r="D59" s="110"/>
      <c r="E59" s="7"/>
      <c r="F59" s="110"/>
      <c r="G59" s="7"/>
    </row>
    <row r="60" spans="1:12" x14ac:dyDescent="0.3">
      <c r="A60" s="48"/>
      <c r="B60" s="6"/>
      <c r="C60" s="6"/>
    </row>
    <row r="61" spans="1:12" x14ac:dyDescent="0.3">
      <c r="A61" s="6"/>
      <c r="B61" s="6"/>
      <c r="C61" s="6"/>
      <c r="D61" s="113" t="s">
        <v>29</v>
      </c>
      <c r="E61" s="113" t="s">
        <v>28</v>
      </c>
      <c r="F61" s="113" t="s">
        <v>27</v>
      </c>
      <c r="G61" s="113" t="s">
        <v>26</v>
      </c>
      <c r="H61" s="113" t="s">
        <v>25</v>
      </c>
      <c r="I61" s="113" t="s">
        <v>24</v>
      </c>
      <c r="J61" s="113" t="s">
        <v>23</v>
      </c>
    </row>
    <row r="62" spans="1:12" ht="15.6" x14ac:dyDescent="0.3">
      <c r="A62" s="48"/>
      <c r="B62" s="74" t="s">
        <v>22</v>
      </c>
      <c r="C62" s="90" t="s">
        <v>21</v>
      </c>
      <c r="D62" s="5">
        <v>1</v>
      </c>
      <c r="E62" s="5">
        <v>2</v>
      </c>
      <c r="F62" s="5">
        <v>3</v>
      </c>
      <c r="G62" s="5">
        <v>4</v>
      </c>
      <c r="H62" s="5">
        <v>5</v>
      </c>
      <c r="I62" s="5">
        <v>6</v>
      </c>
      <c r="J62" s="5">
        <v>7</v>
      </c>
    </row>
    <row r="63" spans="1:12" x14ac:dyDescent="0.3">
      <c r="A63" s="93" t="s">
        <v>210</v>
      </c>
      <c r="B63" s="77">
        <v>2</v>
      </c>
      <c r="C63" s="78" t="s">
        <v>20</v>
      </c>
      <c r="D63" s="4">
        <v>0.15</v>
      </c>
      <c r="E63" s="4">
        <v>0</v>
      </c>
      <c r="F63" s="4">
        <v>0.15</v>
      </c>
      <c r="G63" s="4">
        <v>0.15</v>
      </c>
      <c r="H63" s="4">
        <v>0</v>
      </c>
      <c r="I63" s="4">
        <v>0</v>
      </c>
      <c r="J63" s="4">
        <v>0</v>
      </c>
      <c r="K63" s="3"/>
      <c r="L63" s="3"/>
    </row>
    <row r="64" spans="1:12" x14ac:dyDescent="0.3">
      <c r="A64" s="93" t="s">
        <v>210</v>
      </c>
      <c r="B64" s="77">
        <v>3</v>
      </c>
      <c r="C64" s="78" t="s">
        <v>19</v>
      </c>
      <c r="D64" s="4">
        <v>0</v>
      </c>
      <c r="E64" s="4">
        <v>0.15</v>
      </c>
      <c r="F64" s="4">
        <v>0</v>
      </c>
      <c r="G64" s="4">
        <v>0</v>
      </c>
      <c r="H64" s="4">
        <v>0.15</v>
      </c>
      <c r="I64" s="4">
        <v>0.15</v>
      </c>
      <c r="J64" s="4">
        <v>0.15</v>
      </c>
      <c r="K64" s="3"/>
      <c r="L64" s="3"/>
    </row>
    <row r="65" spans="1:12" x14ac:dyDescent="0.3">
      <c r="B65" s="77">
        <v>4</v>
      </c>
      <c r="C65" s="78" t="s">
        <v>18</v>
      </c>
      <c r="D65" s="4">
        <v>0.01</v>
      </c>
      <c r="E65" s="4">
        <v>0.01</v>
      </c>
      <c r="F65" s="4">
        <v>0.01</v>
      </c>
      <c r="G65" s="4">
        <v>0.01</v>
      </c>
      <c r="H65" s="4">
        <v>0.01</v>
      </c>
      <c r="I65" s="4">
        <v>0.01</v>
      </c>
      <c r="J65" s="4">
        <v>0.01</v>
      </c>
      <c r="K65" s="3"/>
      <c r="L65" s="3"/>
    </row>
    <row r="66" spans="1:12" x14ac:dyDescent="0.3">
      <c r="B66" s="77">
        <v>5</v>
      </c>
      <c r="C66" s="78" t="s">
        <v>17</v>
      </c>
      <c r="D66" s="4">
        <v>0.01</v>
      </c>
      <c r="E66" s="4">
        <v>0.01</v>
      </c>
      <c r="F66" s="4">
        <v>0.01</v>
      </c>
      <c r="G66" s="4">
        <v>0.01</v>
      </c>
      <c r="H66" s="4">
        <v>0.01</v>
      </c>
      <c r="I66" s="4">
        <v>0.01</v>
      </c>
      <c r="J66" s="4">
        <v>0.01</v>
      </c>
      <c r="K66" s="3"/>
      <c r="L66" s="3"/>
    </row>
    <row r="67" spans="1:12" x14ac:dyDescent="0.3">
      <c r="B67" s="77">
        <v>6</v>
      </c>
      <c r="C67" s="78" t="s">
        <v>16</v>
      </c>
      <c r="D67" s="4">
        <v>0.01</v>
      </c>
      <c r="E67" s="4">
        <v>0.01</v>
      </c>
      <c r="F67" s="4">
        <v>0.01</v>
      </c>
      <c r="G67" s="4">
        <v>0.01</v>
      </c>
      <c r="H67" s="4">
        <v>0.01</v>
      </c>
      <c r="I67" s="4">
        <v>0.01</v>
      </c>
      <c r="J67" s="4">
        <v>0.01</v>
      </c>
      <c r="K67" s="3"/>
      <c r="L67" s="3"/>
    </row>
    <row r="68" spans="1:12" x14ac:dyDescent="0.3">
      <c r="B68" s="77">
        <v>7</v>
      </c>
      <c r="C68" s="78" t="s">
        <v>15</v>
      </c>
      <c r="D68" s="4">
        <v>0.01</v>
      </c>
      <c r="E68" s="4">
        <v>0.01</v>
      </c>
      <c r="F68" s="4">
        <v>0.01</v>
      </c>
      <c r="G68" s="4">
        <v>0.01</v>
      </c>
      <c r="H68" s="4">
        <v>0.01</v>
      </c>
      <c r="I68" s="4">
        <v>0.01</v>
      </c>
      <c r="J68" s="4">
        <v>0.01</v>
      </c>
      <c r="K68" s="3"/>
      <c r="L68" s="3"/>
    </row>
    <row r="69" spans="1:12" x14ac:dyDescent="0.3">
      <c r="A69" s="93" t="s">
        <v>210</v>
      </c>
      <c r="B69" s="77">
        <f>+B68+1</f>
        <v>8</v>
      </c>
      <c r="C69" s="78" t="s">
        <v>161</v>
      </c>
      <c r="D69" s="4">
        <v>0.05</v>
      </c>
      <c r="E69" s="4">
        <v>0.05</v>
      </c>
      <c r="F69" s="4">
        <v>0.05</v>
      </c>
      <c r="G69" s="4">
        <v>0.05</v>
      </c>
      <c r="H69" s="4">
        <v>0.05</v>
      </c>
      <c r="I69" s="4">
        <v>0.05</v>
      </c>
      <c r="J69" s="4">
        <v>0.05</v>
      </c>
      <c r="K69" s="3"/>
      <c r="L69" s="3"/>
    </row>
    <row r="70" spans="1:12" x14ac:dyDescent="0.3">
      <c r="B70" s="77">
        <f t="shared" ref="B70:B84" si="3">+B69+1</f>
        <v>9</v>
      </c>
      <c r="C70" s="78" t="s">
        <v>14</v>
      </c>
      <c r="D70" s="4">
        <v>0.01</v>
      </c>
      <c r="E70" s="4">
        <v>0.01</v>
      </c>
      <c r="F70" s="4">
        <v>0.01</v>
      </c>
      <c r="G70" s="4">
        <v>0.01</v>
      </c>
      <c r="H70" s="4">
        <v>0.01</v>
      </c>
      <c r="I70" s="4">
        <v>0.01</v>
      </c>
      <c r="J70" s="4">
        <v>0.01</v>
      </c>
      <c r="K70" s="3"/>
      <c r="L70" s="3"/>
    </row>
    <row r="71" spans="1:12" x14ac:dyDescent="0.3">
      <c r="B71" s="77">
        <f t="shared" si="3"/>
        <v>10</v>
      </c>
      <c r="C71" s="78" t="s">
        <v>13</v>
      </c>
      <c r="D71" s="4">
        <v>0.05</v>
      </c>
      <c r="E71" s="4">
        <v>0.05</v>
      </c>
      <c r="F71" s="4">
        <v>0.05</v>
      </c>
      <c r="G71" s="4">
        <v>0.05</v>
      </c>
      <c r="H71" s="4">
        <v>0.05</v>
      </c>
      <c r="I71" s="4">
        <v>0.05</v>
      </c>
      <c r="J71" s="4">
        <v>0.05</v>
      </c>
      <c r="K71" s="3"/>
      <c r="L71" s="3"/>
    </row>
    <row r="72" spans="1:12" x14ac:dyDescent="0.3">
      <c r="B72" s="77">
        <f t="shared" si="3"/>
        <v>11</v>
      </c>
      <c r="C72" s="110" t="s">
        <v>12</v>
      </c>
      <c r="D72" s="4">
        <v>0.01</v>
      </c>
      <c r="E72" s="4">
        <v>0.01</v>
      </c>
      <c r="F72" s="4">
        <v>0.01</v>
      </c>
      <c r="G72" s="4">
        <v>0.01</v>
      </c>
      <c r="H72" s="4">
        <v>0.01</v>
      </c>
      <c r="I72" s="4">
        <v>0.01</v>
      </c>
      <c r="J72" s="4">
        <v>0.01</v>
      </c>
      <c r="K72" s="3"/>
      <c r="L72" s="3"/>
    </row>
    <row r="73" spans="1:12" x14ac:dyDescent="0.3">
      <c r="B73" s="77">
        <f t="shared" si="3"/>
        <v>12</v>
      </c>
      <c r="C73" s="110" t="s">
        <v>11</v>
      </c>
      <c r="D73" s="4">
        <v>0.05</v>
      </c>
      <c r="E73" s="4">
        <v>0.05</v>
      </c>
      <c r="F73" s="4">
        <v>0.05</v>
      </c>
      <c r="G73" s="4">
        <v>0.05</v>
      </c>
      <c r="H73" s="4">
        <v>0.05</v>
      </c>
      <c r="I73" s="4">
        <v>0.05</v>
      </c>
      <c r="J73" s="4">
        <v>0.05</v>
      </c>
      <c r="K73" s="3"/>
      <c r="L73" s="3"/>
    </row>
    <row r="74" spans="1:12" x14ac:dyDescent="0.3">
      <c r="B74" s="77">
        <f t="shared" si="3"/>
        <v>13</v>
      </c>
      <c r="C74" s="110" t="s">
        <v>10</v>
      </c>
      <c r="D74" s="4">
        <v>0.01</v>
      </c>
      <c r="E74" s="4">
        <v>0.01</v>
      </c>
      <c r="F74" s="4">
        <v>0.01</v>
      </c>
      <c r="G74" s="4">
        <v>0.01</v>
      </c>
      <c r="H74" s="4">
        <v>0.01</v>
      </c>
      <c r="I74" s="4">
        <v>0.01</v>
      </c>
      <c r="J74" s="4">
        <v>0.01</v>
      </c>
      <c r="K74" s="3"/>
      <c r="L74" s="3"/>
    </row>
    <row r="75" spans="1:12" x14ac:dyDescent="0.3">
      <c r="A75" s="93" t="s">
        <v>210</v>
      </c>
      <c r="B75" s="77">
        <f t="shared" si="3"/>
        <v>14</v>
      </c>
      <c r="C75" s="82" t="s">
        <v>189</v>
      </c>
      <c r="D75" s="4">
        <v>0.15</v>
      </c>
      <c r="E75" s="4">
        <v>0.1</v>
      </c>
      <c r="F75" s="4">
        <v>0.15</v>
      </c>
      <c r="G75" s="4">
        <v>0.15</v>
      </c>
      <c r="H75" s="4">
        <v>0.1</v>
      </c>
      <c r="I75" s="4">
        <v>0.1</v>
      </c>
      <c r="J75" s="4">
        <v>0.1</v>
      </c>
      <c r="K75" s="3"/>
      <c r="L75" s="3"/>
    </row>
    <row r="76" spans="1:12" x14ac:dyDescent="0.3">
      <c r="A76" s="50" t="s">
        <v>211</v>
      </c>
      <c r="B76" s="77">
        <f t="shared" si="3"/>
        <v>15</v>
      </c>
      <c r="C76" s="82" t="s">
        <v>193</v>
      </c>
      <c r="D76" s="4">
        <v>0.01</v>
      </c>
      <c r="E76" s="4">
        <v>0.05</v>
      </c>
      <c r="F76" s="4">
        <v>0.01</v>
      </c>
      <c r="G76" s="4">
        <v>0.01</v>
      </c>
      <c r="H76" s="4">
        <v>0.05</v>
      </c>
      <c r="I76" s="4">
        <v>0.05</v>
      </c>
      <c r="J76" s="4">
        <v>0.05</v>
      </c>
      <c r="K76" s="3"/>
      <c r="L76" s="3"/>
    </row>
    <row r="77" spans="1:12" x14ac:dyDescent="0.3">
      <c r="A77" s="93" t="s">
        <v>210</v>
      </c>
      <c r="B77" s="77">
        <f t="shared" si="3"/>
        <v>16</v>
      </c>
      <c r="C77" s="82" t="s">
        <v>9</v>
      </c>
      <c r="D77" s="4">
        <v>0.13</v>
      </c>
      <c r="E77" s="4">
        <v>0.1</v>
      </c>
      <c r="F77" s="4">
        <v>0.15</v>
      </c>
      <c r="G77" s="4">
        <v>0.13</v>
      </c>
      <c r="H77" s="4">
        <v>0.1</v>
      </c>
      <c r="I77" s="4">
        <v>0.1</v>
      </c>
      <c r="J77" s="4">
        <v>0.1</v>
      </c>
      <c r="K77" s="3"/>
      <c r="L77" s="3"/>
    </row>
    <row r="78" spans="1:12" x14ac:dyDescent="0.3">
      <c r="A78" s="50" t="s">
        <v>211</v>
      </c>
      <c r="B78" s="77">
        <f t="shared" si="3"/>
        <v>17</v>
      </c>
      <c r="C78" s="82" t="s">
        <v>8</v>
      </c>
      <c r="D78" s="4">
        <v>0.01</v>
      </c>
      <c r="E78" s="4">
        <v>0.05</v>
      </c>
      <c r="F78" s="4">
        <v>0.01</v>
      </c>
      <c r="G78" s="4">
        <v>0.01</v>
      </c>
      <c r="H78" s="4">
        <v>0.05</v>
      </c>
      <c r="I78" s="4">
        <v>0.05</v>
      </c>
      <c r="J78" s="4">
        <v>0.05</v>
      </c>
      <c r="K78" s="3"/>
      <c r="L78" s="3"/>
    </row>
    <row r="79" spans="1:12" x14ac:dyDescent="0.3">
      <c r="A79" s="93" t="s">
        <v>210</v>
      </c>
      <c r="B79" s="77">
        <f t="shared" si="3"/>
        <v>18</v>
      </c>
      <c r="C79" s="82" t="s">
        <v>209</v>
      </c>
      <c r="D79" s="4">
        <v>0.15</v>
      </c>
      <c r="E79" s="4">
        <v>0.11</v>
      </c>
      <c r="F79" s="4">
        <v>0.13</v>
      </c>
      <c r="G79" s="4">
        <v>0.15</v>
      </c>
      <c r="H79" s="4">
        <v>0.11</v>
      </c>
      <c r="I79" s="4">
        <v>0.11</v>
      </c>
      <c r="J79" s="4">
        <v>0.11</v>
      </c>
      <c r="K79" s="3"/>
      <c r="L79" s="3"/>
    </row>
    <row r="80" spans="1:12" x14ac:dyDescent="0.3">
      <c r="A80" s="50" t="s">
        <v>211</v>
      </c>
      <c r="B80" s="77">
        <f t="shared" si="3"/>
        <v>19</v>
      </c>
      <c r="C80" s="82" t="s">
        <v>202</v>
      </c>
      <c r="D80" s="4">
        <v>0.01</v>
      </c>
      <c r="E80" s="4">
        <v>0.05</v>
      </c>
      <c r="F80" s="4">
        <v>0.01</v>
      </c>
      <c r="G80" s="4">
        <v>0.01</v>
      </c>
      <c r="H80" s="4">
        <v>0.05</v>
      </c>
      <c r="I80" s="4">
        <v>0.05</v>
      </c>
      <c r="J80" s="4">
        <v>0.05</v>
      </c>
      <c r="K80" s="3"/>
      <c r="L80" s="3"/>
    </row>
    <row r="81" spans="1:12" x14ac:dyDescent="0.3">
      <c r="B81" s="77">
        <f t="shared" si="3"/>
        <v>20</v>
      </c>
      <c r="C81" s="110" t="s">
        <v>7</v>
      </c>
      <c r="D81" s="4">
        <v>0.01</v>
      </c>
      <c r="E81" s="4">
        <v>0.01</v>
      </c>
      <c r="F81" s="4">
        <v>0.01</v>
      </c>
      <c r="G81" s="4">
        <v>0.01</v>
      </c>
      <c r="H81" s="4">
        <v>0.01</v>
      </c>
      <c r="I81" s="4">
        <v>0.01</v>
      </c>
      <c r="J81" s="4">
        <v>0.01</v>
      </c>
      <c r="K81" s="3"/>
      <c r="L81" s="3"/>
    </row>
    <row r="82" spans="1:12" x14ac:dyDescent="0.3">
      <c r="A82" s="93" t="s">
        <v>210</v>
      </c>
      <c r="B82" s="77">
        <f t="shared" si="3"/>
        <v>21</v>
      </c>
      <c r="C82" s="110" t="s">
        <v>197</v>
      </c>
      <c r="D82" s="4">
        <v>0.1</v>
      </c>
      <c r="E82" s="4">
        <v>0.1</v>
      </c>
      <c r="F82" s="4">
        <v>0.1</v>
      </c>
      <c r="G82" s="4">
        <v>0.1</v>
      </c>
      <c r="H82" s="4">
        <v>0.1</v>
      </c>
      <c r="I82" s="4">
        <v>0.1</v>
      </c>
      <c r="J82" s="4">
        <v>0.1</v>
      </c>
      <c r="K82" s="3"/>
      <c r="L82" s="3"/>
    </row>
    <row r="83" spans="1:12" x14ac:dyDescent="0.3">
      <c r="B83" s="77">
        <f t="shared" si="3"/>
        <v>22</v>
      </c>
      <c r="C83" s="110" t="s">
        <v>6</v>
      </c>
      <c r="D83" s="4">
        <v>0.01</v>
      </c>
      <c r="E83" s="4">
        <v>0.01</v>
      </c>
      <c r="F83" s="4">
        <v>0.01</v>
      </c>
      <c r="G83" s="4">
        <v>0.01</v>
      </c>
      <c r="H83" s="4">
        <v>0.01</v>
      </c>
      <c r="I83" s="4">
        <v>0.01</v>
      </c>
      <c r="J83" s="4">
        <v>0.01</v>
      </c>
      <c r="K83" s="3"/>
      <c r="L83" s="3"/>
    </row>
    <row r="84" spans="1:12" x14ac:dyDescent="0.3">
      <c r="B84" s="77">
        <f t="shared" si="3"/>
        <v>23</v>
      </c>
      <c r="C84" s="110" t="s">
        <v>5</v>
      </c>
      <c r="D84" s="4">
        <v>0.05</v>
      </c>
      <c r="E84" s="4">
        <v>0.05</v>
      </c>
      <c r="F84" s="4">
        <v>0.05</v>
      </c>
      <c r="G84" s="4">
        <v>0.05</v>
      </c>
      <c r="H84" s="4">
        <v>0.05</v>
      </c>
      <c r="I84" s="4">
        <v>0.05</v>
      </c>
      <c r="J84" s="4">
        <v>0.05</v>
      </c>
      <c r="K84" s="3"/>
      <c r="L84" s="3"/>
    </row>
    <row r="85" spans="1:12" x14ac:dyDescent="0.3">
      <c r="B85" s="2"/>
      <c r="C85" s="2" t="s">
        <v>4</v>
      </c>
      <c r="D85" s="2">
        <f t="shared" ref="D85:J85" si="4">SUM(D63:D84)</f>
        <v>1</v>
      </c>
      <c r="E85" s="2">
        <f t="shared" si="4"/>
        <v>1.0000000000000002</v>
      </c>
      <c r="F85" s="2">
        <f t="shared" si="4"/>
        <v>1</v>
      </c>
      <c r="G85" s="2">
        <f t="shared" si="4"/>
        <v>1</v>
      </c>
      <c r="H85" s="2">
        <f t="shared" si="4"/>
        <v>1.0000000000000002</v>
      </c>
      <c r="I85" s="2">
        <f t="shared" si="4"/>
        <v>1.0000000000000002</v>
      </c>
      <c r="J85" s="2">
        <f t="shared" si="4"/>
        <v>1.0000000000000002</v>
      </c>
    </row>
    <row r="87" spans="1:12" x14ac:dyDescent="0.3">
      <c r="D87" s="91"/>
      <c r="E87" s="91"/>
      <c r="F87" s="91"/>
      <c r="G87" s="91"/>
      <c r="H87" s="91"/>
      <c r="I87" s="91"/>
      <c r="J87" s="91"/>
    </row>
  </sheetData>
  <sheetProtection formatCells="0" selectLockedCells="1" selectUnlockedCells="1"/>
  <protectedRanges>
    <protectedRange password="CF7A" sqref="M1" name="Rango1"/>
  </protectedRanges>
  <mergeCells count="86">
    <mergeCell ref="D34:E34"/>
    <mergeCell ref="A12:B12"/>
    <mergeCell ref="J51:K51"/>
    <mergeCell ref="A39:A40"/>
    <mergeCell ref="B44:C44"/>
    <mergeCell ref="D44:F44"/>
    <mergeCell ref="C39:M40"/>
    <mergeCell ref="D41:M41"/>
    <mergeCell ref="D42:F42"/>
    <mergeCell ref="D43:F43"/>
    <mergeCell ref="D45:F45"/>
    <mergeCell ref="A51:C51"/>
    <mergeCell ref="D51:E51"/>
    <mergeCell ref="F51:G51"/>
    <mergeCell ref="A35:A38"/>
    <mergeCell ref="B48:C48"/>
    <mergeCell ref="B59:C59"/>
    <mergeCell ref="B52:C52"/>
    <mergeCell ref="B57:C57"/>
    <mergeCell ref="B58:C58"/>
    <mergeCell ref="B53:C53"/>
    <mergeCell ref="B54:C54"/>
    <mergeCell ref="B55:C55"/>
    <mergeCell ref="B56:C56"/>
    <mergeCell ref="D46:F46"/>
    <mergeCell ref="D47:F47"/>
    <mergeCell ref="D48:F48"/>
    <mergeCell ref="D38:E38"/>
    <mergeCell ref="B46:C46"/>
    <mergeCell ref="B47:C47"/>
    <mergeCell ref="A41:C41"/>
    <mergeCell ref="B42:C42"/>
    <mergeCell ref="B43:C43"/>
    <mergeCell ref="B45:C45"/>
    <mergeCell ref="D37:E37"/>
    <mergeCell ref="D36:E36"/>
    <mergeCell ref="D35:E35"/>
    <mergeCell ref="K3:L3"/>
    <mergeCell ref="K2:L2"/>
    <mergeCell ref="I2:J2"/>
    <mergeCell ref="I3:J3"/>
    <mergeCell ref="I4:J4"/>
    <mergeCell ref="I6:J6"/>
    <mergeCell ref="K5:L5"/>
    <mergeCell ref="D12:E12"/>
    <mergeCell ref="I7:J7"/>
    <mergeCell ref="I5:J5"/>
    <mergeCell ref="D22:E22"/>
    <mergeCell ref="D23:E23"/>
    <mergeCell ref="D33:E33"/>
    <mergeCell ref="H51:I51"/>
    <mergeCell ref="I42:M42"/>
    <mergeCell ref="I43:M43"/>
    <mergeCell ref="I45:M45"/>
    <mergeCell ref="I11:J11"/>
    <mergeCell ref="K11:L11"/>
    <mergeCell ref="I48:M48"/>
    <mergeCell ref="I46:M46"/>
    <mergeCell ref="I47:M47"/>
    <mergeCell ref="K15:L15"/>
    <mergeCell ref="K13:L13"/>
    <mergeCell ref="K12:L12"/>
    <mergeCell ref="A29:A34"/>
    <mergeCell ref="D16:E16"/>
    <mergeCell ref="D17:E17"/>
    <mergeCell ref="D18:E18"/>
    <mergeCell ref="D24:E24"/>
    <mergeCell ref="D25:E25"/>
    <mergeCell ref="A26:A28"/>
    <mergeCell ref="D26:E26"/>
    <mergeCell ref="D27:E27"/>
    <mergeCell ref="D32:E32"/>
    <mergeCell ref="D28:E28"/>
    <mergeCell ref="D29:E29"/>
    <mergeCell ref="D30:E30"/>
    <mergeCell ref="D31:E31"/>
    <mergeCell ref="A17:A25"/>
    <mergeCell ref="D21:E21"/>
    <mergeCell ref="D19:E19"/>
    <mergeCell ref="D20:E20"/>
    <mergeCell ref="I1:J1"/>
    <mergeCell ref="I10:J10"/>
    <mergeCell ref="I8:J8"/>
    <mergeCell ref="E1:G1"/>
    <mergeCell ref="A15:F15"/>
    <mergeCell ref="D11:E11"/>
  </mergeCells>
  <conditionalFormatting sqref="J17">
    <cfRule type="cellIs" dxfId="69" priority="71" operator="between">
      <formula>0.2</formula>
      <formula>0.4</formula>
    </cfRule>
    <cfRule type="expression" dxfId="68" priority="72">
      <formula>$J$17&lt;20%</formula>
    </cfRule>
    <cfRule type="expression" dxfId="67" priority="73">
      <formula>$J$17&gt;40%</formula>
    </cfRule>
  </conditionalFormatting>
  <conditionalFormatting sqref="J21">
    <cfRule type="containsText" dxfId="66" priority="69" operator="containsText" text="M">
      <formula>NOT(ISERROR(SEARCH("M",J21)))</formula>
    </cfRule>
    <cfRule type="containsText" dxfId="65" priority="70" operator="containsText" text="F">
      <formula>NOT(ISERROR(SEARCH("F",J21)))</formula>
    </cfRule>
  </conditionalFormatting>
  <conditionalFormatting sqref="J24">
    <cfRule type="cellIs" dxfId="64" priority="66" operator="equal">
      <formula>7</formula>
    </cfRule>
    <cfRule type="cellIs" dxfId="63" priority="67" operator="between">
      <formula>5</formula>
      <formula>6</formula>
    </cfRule>
    <cfRule type="cellIs" dxfId="62" priority="68" operator="lessThan">
      <formula>4</formula>
    </cfRule>
  </conditionalFormatting>
  <conditionalFormatting sqref="J25">
    <cfRule type="cellIs" dxfId="61" priority="63" operator="between">
      <formula>2</formula>
      <formula>5</formula>
    </cfRule>
    <cfRule type="expression" dxfId="60" priority="64">
      <formula>$J$25&lt;2</formula>
    </cfRule>
    <cfRule type="expression" dxfId="59" priority="65">
      <formula>$J$25&gt;5</formula>
    </cfRule>
  </conditionalFormatting>
  <conditionalFormatting sqref="J34">
    <cfRule type="cellIs" dxfId="58" priority="60" operator="between">
      <formula>500</formula>
      <formula>600</formula>
    </cfRule>
    <cfRule type="cellIs" dxfId="57" priority="61" operator="lessThan">
      <formula>500</formula>
    </cfRule>
    <cfRule type="cellIs" dxfId="56" priority="62" operator="greaterThanOrEqual">
      <formula>600</formula>
    </cfRule>
  </conditionalFormatting>
  <conditionalFormatting sqref="J31">
    <cfRule type="cellIs" dxfId="55" priority="57" operator="between">
      <formula>2</formula>
      <formula>5</formula>
    </cfRule>
    <cfRule type="expression" dxfId="54" priority="58">
      <formula>$J$31&lt;2</formula>
    </cfRule>
    <cfRule type="expression" dxfId="53" priority="59">
      <formula>$J$31&gt;5</formula>
    </cfRule>
  </conditionalFormatting>
  <conditionalFormatting sqref="J26">
    <cfRule type="cellIs" dxfId="52" priority="54" operator="between">
      <formula>3</formula>
      <formula>5</formula>
    </cfRule>
    <cfRule type="cellIs" dxfId="51" priority="55" operator="greaterThan">
      <formula>5</formula>
    </cfRule>
    <cfRule type="cellIs" dxfId="50" priority="56" operator="lessThan">
      <formula>3</formula>
    </cfRule>
  </conditionalFormatting>
  <conditionalFormatting sqref="J27">
    <cfRule type="cellIs" dxfId="49" priority="51" operator="between">
      <formula>10</formula>
      <formula>20</formula>
    </cfRule>
    <cfRule type="expression" dxfId="48" priority="52">
      <formula>$J$27&gt;20</formula>
    </cfRule>
    <cfRule type="expression" dxfId="47" priority="53">
      <formula>$J$27&lt;10</formula>
    </cfRule>
  </conditionalFormatting>
  <conditionalFormatting sqref="J28">
    <cfRule type="cellIs" dxfId="46" priority="48" operator="equal">
      <formula>2</formula>
    </cfRule>
    <cfRule type="cellIs" dxfId="45" priority="49" operator="equal">
      <formula>3</formula>
    </cfRule>
    <cfRule type="cellIs" dxfId="44" priority="50" operator="equal">
      <formula>1</formula>
    </cfRule>
  </conditionalFormatting>
  <conditionalFormatting sqref="J38">
    <cfRule type="cellIs" dxfId="43" priority="42" operator="between">
      <formula>3</formula>
      <formula>5</formula>
    </cfRule>
    <cfRule type="expression" dxfId="42" priority="43">
      <formula>$J$38&gt;5</formula>
    </cfRule>
    <cfRule type="expression" dxfId="41" priority="44">
      <formula>$J$38&lt;3</formula>
    </cfRule>
  </conditionalFormatting>
  <conditionalFormatting sqref="J32">
    <cfRule type="containsText" dxfId="40" priority="39" operator="containsText" text="C,D,E">
      <formula>NOT(ISERROR(SEARCH("C,D,E",J32)))</formula>
    </cfRule>
    <cfRule type="containsText" dxfId="39" priority="40" operator="containsText" text="B">
      <formula>NOT(ISERROR(SEARCH("B",J32)))</formula>
    </cfRule>
    <cfRule type="containsText" dxfId="38" priority="41" operator="containsText" text="A">
      <formula>NOT(ISERROR(SEARCH("A",J32)))</formula>
    </cfRule>
  </conditionalFormatting>
  <conditionalFormatting sqref="H15">
    <cfRule type="cellIs" dxfId="37" priority="36" operator="between">
      <formula>3</formula>
      <formula>3.999</formula>
    </cfRule>
    <cfRule type="expression" dxfId="36" priority="37">
      <formula>H15&lt;3</formula>
    </cfRule>
    <cfRule type="expression" dxfId="35" priority="38">
      <formula>H15&gt;=4</formula>
    </cfRule>
  </conditionalFormatting>
  <conditionalFormatting sqref="G15">
    <cfRule type="containsText" dxfId="34" priority="33" operator="containsText" text="BAJO">
      <formula>NOT(ISERROR(SEARCH("BAJO",G15)))</formula>
    </cfRule>
    <cfRule type="containsText" dxfId="33" priority="34" operator="containsText" text="MEDIO">
      <formula>NOT(ISERROR(SEARCH("MEDIO",G15)))</formula>
    </cfRule>
    <cfRule type="containsText" dxfId="32" priority="35" operator="containsText" text="ALTO">
      <formula>NOT(ISERROR(SEARCH("ALTO",G15)))</formula>
    </cfRule>
  </conditionalFormatting>
  <conditionalFormatting sqref="J19">
    <cfRule type="cellIs" dxfId="31" priority="30" operator="equal">
      <formula>5</formula>
    </cfRule>
    <cfRule type="cellIs" dxfId="30" priority="31" operator="equal">
      <formula>2</formula>
    </cfRule>
    <cfRule type="cellIs" dxfId="29" priority="32" operator="equal">
      <formula>1</formula>
    </cfRule>
  </conditionalFormatting>
  <conditionalFormatting sqref="J20">
    <cfRule type="cellIs" dxfId="28" priority="27" operator="greaterThan">
      <formula>1</formula>
    </cfRule>
    <cfRule type="cellIs" dxfId="27" priority="28" operator="equal">
      <formula>1</formula>
    </cfRule>
    <cfRule type="cellIs" dxfId="26" priority="29" operator="equal">
      <formula>0</formula>
    </cfRule>
  </conditionalFormatting>
  <conditionalFormatting sqref="J22">
    <cfRule type="cellIs" dxfId="25" priority="24" operator="lessThan">
      <formula>3</formula>
    </cfRule>
    <cfRule type="cellIs" dxfId="24" priority="25" operator="greaterThan">
      <formula>3</formula>
    </cfRule>
    <cfRule type="cellIs" dxfId="23" priority="26" operator="equal">
      <formula>3</formula>
    </cfRule>
  </conditionalFormatting>
  <conditionalFormatting sqref="J23">
    <cfRule type="cellIs" dxfId="22" priority="21" operator="equal">
      <formula>2</formula>
    </cfRule>
    <cfRule type="cellIs" dxfId="21" priority="22" operator="equal">
      <formula>3</formula>
    </cfRule>
    <cfRule type="cellIs" dxfId="20" priority="23" operator="equal">
      <formula>1</formula>
    </cfRule>
  </conditionalFormatting>
  <conditionalFormatting sqref="J35">
    <cfRule type="cellIs" dxfId="19" priority="18" operator="between">
      <formula>3</formula>
      <formula>5</formula>
    </cfRule>
    <cfRule type="cellIs" dxfId="18" priority="19" operator="greaterThan">
      <formula>5</formula>
    </cfRule>
    <cfRule type="cellIs" dxfId="17" priority="20" operator="lessThan">
      <formula>3</formula>
    </cfRule>
  </conditionalFormatting>
  <conditionalFormatting sqref="J29">
    <cfRule type="cellIs" dxfId="16" priority="15" operator="between">
      <formula>1</formula>
      <formula>2</formula>
    </cfRule>
    <cfRule type="cellIs" dxfId="15" priority="16" operator="greaterThan">
      <formula>2</formula>
    </cfRule>
    <cfRule type="cellIs" dxfId="14" priority="17" operator="equal">
      <formula>0</formula>
    </cfRule>
  </conditionalFormatting>
  <conditionalFormatting sqref="J18">
    <cfRule type="cellIs" dxfId="13" priority="12" operator="between">
      <formula>0.3</formula>
      <formula>0.5</formula>
    </cfRule>
    <cfRule type="cellIs" dxfId="12" priority="13" operator="lessThan">
      <formula>0.3</formula>
    </cfRule>
    <cfRule type="cellIs" dxfId="11" priority="14" operator="greaterThan">
      <formula>0.5</formula>
    </cfRule>
  </conditionalFormatting>
  <conditionalFormatting sqref="J37">
    <cfRule type="cellIs" dxfId="10" priority="9" operator="lessThan">
      <formula>30</formula>
    </cfRule>
    <cfRule type="cellIs" dxfId="9" priority="10" operator="greaterThan">
      <formula>60</formula>
    </cfRule>
    <cfRule type="cellIs" dxfId="8" priority="11" operator="between">
      <formula>30</formula>
      <formula>60</formula>
    </cfRule>
  </conditionalFormatting>
  <conditionalFormatting sqref="J30">
    <cfRule type="cellIs" dxfId="7" priority="6" operator="between">
      <formula>1</formula>
      <formula>2</formula>
    </cfRule>
    <cfRule type="cellIs" dxfId="6" priority="7" operator="greaterThan">
      <formula>2</formula>
    </cfRule>
    <cfRule type="cellIs" dxfId="5" priority="8" operator="equal">
      <formula>0</formula>
    </cfRule>
  </conditionalFormatting>
  <conditionalFormatting sqref="J36">
    <cfRule type="containsText" dxfId="4" priority="4" operator="containsText" text="NO">
      <formula>NOT(ISERROR(SEARCH("NO",J36)))</formula>
    </cfRule>
    <cfRule type="containsText" dxfId="3" priority="5" operator="containsText" text="SI">
      <formula>NOT(ISERROR(SEARCH("SI",J36)))</formula>
    </cfRule>
  </conditionalFormatting>
  <conditionalFormatting sqref="J33">
    <cfRule type="cellIs" dxfId="2" priority="1" operator="between">
      <formula>5</formula>
      <formula>20</formula>
    </cfRule>
    <cfRule type="cellIs" dxfId="1" priority="2" operator="lessThan">
      <formula>5</formula>
    </cfRule>
    <cfRule type="cellIs" dxfId="0" priority="3" operator="greaterThanOrEqual">
      <formula>25</formula>
    </cfRule>
  </conditionalFormatting>
  <printOptions horizontalCentered="1" verticalCentered="1"/>
  <pageMargins left="0.11811023622047245" right="0.28000000000000003" top="0.31496062992125984" bottom="0.35433070866141736" header="0.31496062992125984" footer="0.31496062992125984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SCCORING</vt:lpstr>
      <vt:lpstr>SCCORING!Área_de_impresión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Gomez Machado</dc:creator>
  <cp:lastModifiedBy>Diego Fernando Betancour Palacios</cp:lastModifiedBy>
  <dcterms:created xsi:type="dcterms:W3CDTF">2017-02-01T18:11:50Z</dcterms:created>
  <dcterms:modified xsi:type="dcterms:W3CDTF">2021-12-15T16:59:23Z</dcterms:modified>
</cp:coreProperties>
</file>